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ka\arquivos\Licitacao\CPL-22\PREGÃO 5974.21 (PE SIDEC 026) - SERV ADM\EDITAL POS REVOGAÇÃO\ENCARTES\"/>
    </mc:Choice>
  </mc:AlternateContent>
  <xr:revisionPtr revIDLastSave="0" documentId="8_{6E89BF40-80D3-4D7C-8DF1-33519FB8C1C0}" xr6:coauthVersionLast="47" xr6:coauthVersionMax="47" xr10:uidLastSave="{00000000-0000-0000-0000-000000000000}"/>
  <bookViews>
    <workbookView xWindow="-120" yWindow="-120" windowWidth="29040" windowHeight="15840" tabRatio="685" activeTab="2" xr2:uid="{00000000-000D-0000-FFFF-FFFF00000000}"/>
  </bookViews>
  <sheets>
    <sheet name="Equipe Técnica Grupo 02" sheetId="75" r:id="rId1"/>
    <sheet name="Uniformes e Equipamentos" sheetId="72" r:id="rId2"/>
    <sheet name="Resumo dos Postos" sheetId="74" r:id="rId3"/>
  </sheets>
  <definedNames>
    <definedName name="_xlnm.Print_Area" localSheetId="0">'Equipe Técnica Grupo 02'!$B$2:$Q$127</definedName>
    <definedName name="_xlnm.Print_Area" localSheetId="2">'Resumo dos Postos'!$A$2:$M$21</definedName>
    <definedName name="_xlnm.Print_Area" localSheetId="1">'Uniformes e Equipamentos'!$B$2:$I$52</definedName>
    <definedName name="Excel_BuiltIn_Print_Titles">#REF!</definedName>
    <definedName name="Samuel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74" l="1"/>
  <c r="L15" i="74" l="1"/>
  <c r="L16" i="74"/>
  <c r="L17" i="74"/>
  <c r="L18" i="74"/>
  <c r="L19" i="74"/>
  <c r="K15" i="74"/>
  <c r="K16" i="74"/>
  <c r="K17" i="74"/>
  <c r="K18" i="74"/>
  <c r="K19" i="74"/>
  <c r="K14" i="74"/>
  <c r="L14" i="74" s="1"/>
  <c r="J15" i="74"/>
  <c r="J16" i="74"/>
  <c r="J17" i="74"/>
  <c r="J18" i="74"/>
  <c r="J19" i="74"/>
  <c r="J14" i="74"/>
  <c r="H15" i="74"/>
  <c r="H16" i="74"/>
  <c r="H17" i="74"/>
  <c r="H18" i="74"/>
  <c r="H19" i="74"/>
  <c r="H14" i="74"/>
  <c r="F20" i="74"/>
  <c r="H20" i="74"/>
  <c r="H50" i="72"/>
  <c r="H51" i="72" s="1"/>
  <c r="H41" i="72"/>
  <c r="H42" i="72" s="1"/>
  <c r="H28" i="72"/>
  <c r="H18" i="72"/>
  <c r="H49" i="72"/>
  <c r="H48" i="72"/>
  <c r="H47" i="72"/>
  <c r="H39" i="72"/>
  <c r="H38" i="72"/>
  <c r="H37" i="72"/>
  <c r="H16" i="72"/>
  <c r="H15" i="72"/>
  <c r="K78" i="75"/>
  <c r="O78" i="75"/>
  <c r="P78" i="75"/>
  <c r="N78" i="75"/>
  <c r="M78" i="75"/>
  <c r="L78" i="75"/>
  <c r="K68" i="75"/>
  <c r="H19" i="72" l="1"/>
  <c r="K39" i="75"/>
  <c r="K47" i="75" s="1"/>
  <c r="K62" i="75" s="1"/>
  <c r="L73" i="75"/>
  <c r="M73" i="75"/>
  <c r="N73" i="75"/>
  <c r="O73" i="75"/>
  <c r="P73" i="75"/>
  <c r="K69" i="75"/>
  <c r="K73" i="75" s="1"/>
  <c r="L68" i="75"/>
  <c r="L69" i="75" s="1"/>
  <c r="M68" i="75"/>
  <c r="M69" i="75" s="1"/>
  <c r="N68" i="75"/>
  <c r="N69" i="75" s="1"/>
  <c r="O68" i="75"/>
  <c r="O69" i="75" s="1"/>
  <c r="P68" i="75"/>
  <c r="P69" i="75" s="1"/>
  <c r="K70" i="75"/>
  <c r="K71" i="75" s="1"/>
  <c r="L70" i="75"/>
  <c r="L71" i="75" s="1"/>
  <c r="M70" i="75"/>
  <c r="M71" i="75" s="1"/>
  <c r="N70" i="75"/>
  <c r="N71" i="75" s="1"/>
  <c r="O70" i="75"/>
  <c r="O71" i="75" s="1"/>
  <c r="P70" i="75"/>
  <c r="P71" i="75" s="1"/>
  <c r="K72" i="75"/>
  <c r="L72" i="75"/>
  <c r="M72" i="75"/>
  <c r="N72" i="75"/>
  <c r="O72" i="75"/>
  <c r="P72" i="75"/>
  <c r="P64" i="75"/>
  <c r="K61" i="75"/>
  <c r="P47" i="75"/>
  <c r="O47" i="75"/>
  <c r="N47" i="75"/>
  <c r="M47" i="75"/>
  <c r="L47" i="75"/>
  <c r="P35" i="75"/>
  <c r="O35" i="75"/>
  <c r="N35" i="75"/>
  <c r="M35" i="75"/>
  <c r="L35" i="75"/>
  <c r="K35" i="75"/>
  <c r="K28" i="75"/>
  <c r="K33" i="75" s="1"/>
  <c r="L28" i="75"/>
  <c r="L34" i="75" s="1"/>
  <c r="M28" i="75"/>
  <c r="M34" i="75" s="1"/>
  <c r="N28" i="75"/>
  <c r="N34" i="75" s="1"/>
  <c r="O28" i="75"/>
  <c r="P28" i="75"/>
  <c r="P34" i="75" s="1"/>
  <c r="P23" i="75"/>
  <c r="L51" i="75"/>
  <c r="L57" i="75" s="1"/>
  <c r="K51" i="75"/>
  <c r="K57" i="75" s="1"/>
  <c r="K63" i="75" s="1"/>
  <c r="M51" i="75"/>
  <c r="M57" i="75" s="1"/>
  <c r="P52" i="75"/>
  <c r="O52" i="75"/>
  <c r="N52" i="75"/>
  <c r="M52" i="75"/>
  <c r="L52" i="75"/>
  <c r="K52" i="75"/>
  <c r="O26" i="75"/>
  <c r="O25" i="75"/>
  <c r="O51" i="75"/>
  <c r="N51" i="75"/>
  <c r="O23" i="75"/>
  <c r="N23" i="75"/>
  <c r="M23" i="75"/>
  <c r="L23" i="75"/>
  <c r="K23" i="75"/>
  <c r="J78" i="75"/>
  <c r="H40" i="72"/>
  <c r="K64" i="75" l="1"/>
  <c r="K80" i="75" s="1"/>
  <c r="K34" i="75"/>
  <c r="O34" i="75"/>
  <c r="L101" i="75"/>
  <c r="N101" i="75"/>
  <c r="H27" i="72"/>
  <c r="H29" i="72" s="1"/>
  <c r="H26" i="72"/>
  <c r="H25" i="72"/>
  <c r="H24" i="72"/>
  <c r="J109" i="75"/>
  <c r="J115" i="75" s="1"/>
  <c r="J82" i="75"/>
  <c r="J81" i="75"/>
  <c r="J80" i="75"/>
  <c r="J79" i="75"/>
  <c r="J70" i="75"/>
  <c r="J68" i="75"/>
  <c r="J69" i="75" s="1"/>
  <c r="O55" i="75"/>
  <c r="N55" i="75"/>
  <c r="M55" i="75"/>
  <c r="O54" i="75"/>
  <c r="N54" i="75"/>
  <c r="M54" i="75"/>
  <c r="J41" i="75"/>
  <c r="J47" i="75" s="1"/>
  <c r="J33" i="75"/>
  <c r="J35" i="75" s="1"/>
  <c r="H14" i="72"/>
  <c r="H17" i="72"/>
  <c r="K82" i="75" l="1"/>
  <c r="K79" i="75"/>
  <c r="N57" i="75"/>
  <c r="N63" i="75" s="1"/>
  <c r="N64" i="75" s="1"/>
  <c r="L56" i="75"/>
  <c r="L63" i="75" s="1"/>
  <c r="L64" i="75" s="1"/>
  <c r="M56" i="75"/>
  <c r="M63" i="75" s="1"/>
  <c r="M64" i="75" s="1"/>
  <c r="K101" i="75"/>
  <c r="P101" i="75"/>
  <c r="O101" i="75"/>
  <c r="M101" i="75"/>
  <c r="P99" i="75"/>
  <c r="O57" i="75"/>
  <c r="O63" i="75" s="1"/>
  <c r="O64" i="75" s="1"/>
  <c r="K119" i="75"/>
  <c r="K83" i="75"/>
  <c r="P119" i="75"/>
  <c r="P33" i="75"/>
  <c r="J71" i="75"/>
  <c r="J73" i="75" s="1"/>
  <c r="P57" i="75"/>
  <c r="P63" i="75" s="1"/>
  <c r="J84" i="75"/>
  <c r="J88" i="75" s="1"/>
  <c r="L99" i="75" l="1"/>
  <c r="L103" i="75" s="1"/>
  <c r="L123" i="75" s="1"/>
  <c r="K99" i="75"/>
  <c r="K103" i="75" s="1"/>
  <c r="K123" i="75" s="1"/>
  <c r="M99" i="75"/>
  <c r="M103" i="75" s="1"/>
  <c r="M123" i="75" s="1"/>
  <c r="O99" i="75"/>
  <c r="O103" i="75" s="1"/>
  <c r="O123" i="75" s="1"/>
  <c r="N99" i="75"/>
  <c r="N103" i="75" s="1"/>
  <c r="N123" i="75" s="1"/>
  <c r="P103" i="75"/>
  <c r="P123" i="75" s="1"/>
  <c r="K121" i="75"/>
  <c r="M119" i="75"/>
  <c r="M33" i="75"/>
  <c r="N83" i="75"/>
  <c r="L83" i="75"/>
  <c r="M83" i="75" s="1"/>
  <c r="L119" i="75"/>
  <c r="L33" i="75"/>
  <c r="N119" i="75"/>
  <c r="P88" i="75"/>
  <c r="P89" i="75" s="1"/>
  <c r="P94" i="75" s="1"/>
  <c r="L88" i="75"/>
  <c r="L89" i="75" s="1"/>
  <c r="L94" i="75" s="1"/>
  <c r="K88" i="75"/>
  <c r="K89" i="75" s="1"/>
  <c r="K94" i="75" s="1"/>
  <c r="N88" i="75"/>
  <c r="N89" i="75" s="1"/>
  <c r="N94" i="75" s="1"/>
  <c r="J89" i="75"/>
  <c r="M88" i="75"/>
  <c r="M89" i="75" s="1"/>
  <c r="M94" i="75" s="1"/>
  <c r="N33" i="75"/>
  <c r="P121" i="75"/>
  <c r="P40" i="75" l="1"/>
  <c r="P39" i="75"/>
  <c r="K46" i="75"/>
  <c r="K41" i="75"/>
  <c r="O119" i="75"/>
  <c r="O83" i="75"/>
  <c r="P83" i="75" s="1"/>
  <c r="O88" i="75"/>
  <c r="O89" i="75" s="1"/>
  <c r="O94" i="75" s="1"/>
  <c r="O33" i="75"/>
  <c r="K43" i="75"/>
  <c r="K42" i="75"/>
  <c r="N41" i="75"/>
  <c r="K44" i="75"/>
  <c r="K45" i="75"/>
  <c r="K40" i="75"/>
  <c r="L39" i="75"/>
  <c r="M121" i="75"/>
  <c r="P61" i="75"/>
  <c r="P45" i="75"/>
  <c r="P46" i="75"/>
  <c r="P43" i="75"/>
  <c r="P44" i="75"/>
  <c r="P41" i="75"/>
  <c r="P42" i="75"/>
  <c r="L121" i="75"/>
  <c r="N121" i="75"/>
  <c r="O43" i="75" l="1"/>
  <c r="O121" i="75"/>
  <c r="N45" i="75"/>
  <c r="N61" i="75"/>
  <c r="O45" i="75"/>
  <c r="N40" i="75"/>
  <c r="N44" i="75"/>
  <c r="N42" i="75"/>
  <c r="N39" i="75"/>
  <c r="N43" i="75"/>
  <c r="N46" i="75"/>
  <c r="L61" i="75"/>
  <c r="L45" i="75"/>
  <c r="L46" i="75"/>
  <c r="L41" i="75"/>
  <c r="L44" i="75"/>
  <c r="L40" i="75"/>
  <c r="L42" i="75"/>
  <c r="L43" i="75"/>
  <c r="M61" i="75"/>
  <c r="M45" i="75"/>
  <c r="M42" i="75"/>
  <c r="M43" i="75"/>
  <c r="M40" i="75"/>
  <c r="M44" i="75"/>
  <c r="M41" i="75"/>
  <c r="M39" i="75"/>
  <c r="M46" i="75"/>
  <c r="P62" i="75"/>
  <c r="O44" i="75" l="1"/>
  <c r="O39" i="75"/>
  <c r="O42" i="75"/>
  <c r="K120" i="75"/>
  <c r="O40" i="75"/>
  <c r="O46" i="75"/>
  <c r="O41" i="75"/>
  <c r="O61" i="75"/>
  <c r="K81" i="75"/>
  <c r="N62" i="75"/>
  <c r="P120" i="75"/>
  <c r="P80" i="75"/>
  <c r="P81" i="75"/>
  <c r="P79" i="75"/>
  <c r="P82" i="75"/>
  <c r="M62" i="75"/>
  <c r="L62" i="75"/>
  <c r="O62" i="75" l="1"/>
  <c r="N79" i="75"/>
  <c r="N120" i="75"/>
  <c r="K84" i="75"/>
  <c r="K93" i="75" s="1"/>
  <c r="K95" i="75" s="1"/>
  <c r="K122" i="75" s="1"/>
  <c r="N82" i="75"/>
  <c r="N81" i="75"/>
  <c r="N80" i="75"/>
  <c r="M120" i="75"/>
  <c r="M79" i="75"/>
  <c r="M82" i="75"/>
  <c r="M80" i="75"/>
  <c r="M81" i="75"/>
  <c r="L120" i="75"/>
  <c r="L80" i="75"/>
  <c r="L79" i="75"/>
  <c r="L82" i="75"/>
  <c r="L81" i="75"/>
  <c r="P84" i="75"/>
  <c r="P93" i="75" s="1"/>
  <c r="P95" i="75" s="1"/>
  <c r="P122" i="75" s="1"/>
  <c r="P124" i="75" s="1"/>
  <c r="K124" i="75" l="1"/>
  <c r="O120" i="75"/>
  <c r="O80" i="75"/>
  <c r="O82" i="75"/>
  <c r="O79" i="75"/>
  <c r="O81" i="75"/>
  <c r="N84" i="75"/>
  <c r="N93" i="75" s="1"/>
  <c r="N95" i="75" s="1"/>
  <c r="N122" i="75" s="1"/>
  <c r="N124" i="75" s="1"/>
  <c r="L84" i="75"/>
  <c r="L93" i="75" s="1"/>
  <c r="L95" i="75" s="1"/>
  <c r="L122" i="75" s="1"/>
  <c r="L124" i="75" s="1"/>
  <c r="P107" i="75"/>
  <c r="M84" i="75"/>
  <c r="M93" i="75" s="1"/>
  <c r="M95" i="75" s="1"/>
  <c r="M122" i="75" s="1"/>
  <c r="M124" i="75" s="1"/>
  <c r="K107" i="75" l="1"/>
  <c r="N107" i="75"/>
  <c r="N108" i="75" s="1"/>
  <c r="N126" i="75" s="1"/>
  <c r="P108" i="75"/>
  <c r="P126" i="75" s="1"/>
  <c r="P111" i="75" s="1"/>
  <c r="O84" i="75"/>
  <c r="O93" i="75" s="1"/>
  <c r="O95" i="75" s="1"/>
  <c r="O122" i="75" s="1"/>
  <c r="M107" i="75"/>
  <c r="L107" i="75"/>
  <c r="K108" i="75" l="1"/>
  <c r="K126" i="75" s="1"/>
  <c r="O124" i="75"/>
  <c r="I17" i="74"/>
  <c r="M108" i="75"/>
  <c r="M126" i="75" s="1"/>
  <c r="L108" i="75"/>
  <c r="L126" i="75" s="1"/>
  <c r="I15" i="74" s="1"/>
  <c r="P112" i="75"/>
  <c r="I19" i="74"/>
  <c r="P114" i="75"/>
  <c r="M112" i="75" l="1"/>
  <c r="M114" i="75"/>
  <c r="K111" i="75"/>
  <c r="K112" i="75"/>
  <c r="K114" i="75"/>
  <c r="O107" i="75"/>
  <c r="O108" i="75" s="1"/>
  <c r="N114" i="75"/>
  <c r="N111" i="75"/>
  <c r="N112" i="75"/>
  <c r="M111" i="75"/>
  <c r="I16" i="74"/>
  <c r="P109" i="75"/>
  <c r="P115" i="75" s="1"/>
  <c r="P125" i="75" s="1"/>
  <c r="L112" i="75"/>
  <c r="L114" i="75"/>
  <c r="L111" i="75"/>
  <c r="M109" i="75" l="1"/>
  <c r="M115" i="75" s="1"/>
  <c r="M125" i="75" s="1"/>
  <c r="K109" i="75"/>
  <c r="K115" i="75" s="1"/>
  <c r="K125" i="75" s="1"/>
  <c r="N109" i="75"/>
  <c r="N115" i="75" s="1"/>
  <c r="N125" i="75" s="1"/>
  <c r="O126" i="75"/>
  <c r="I18" i="74" s="1"/>
  <c r="L20" i="74" s="1"/>
  <c r="L109" i="75"/>
  <c r="L115" i="75" s="1"/>
  <c r="L125" i="75" s="1"/>
  <c r="K20" i="74" l="1"/>
  <c r="O112" i="75"/>
  <c r="O111" i="75"/>
  <c r="O114" i="75"/>
  <c r="O109" i="75" l="1"/>
  <c r="O115" i="75" s="1"/>
  <c r="O125" i="75" s="1"/>
</calcChain>
</file>

<file path=xl/sharedStrings.xml><?xml version="1.0" encoding="utf-8"?>
<sst xmlns="http://schemas.openxmlformats.org/spreadsheetml/2006/main" count="393" uniqueCount="188">
  <si>
    <t>PLANILHA DE CUSTOS E FORMAÇÃO DE PREÇOS - CONTRATAÇÃO DE SERVIÇOS DE APOIO ADMINISTRATIVO PARA O HUUFMA</t>
  </si>
  <si>
    <t>PROCESSO SEI N.º:</t>
  </si>
  <si>
    <t>MODALIDADE:</t>
  </si>
  <si>
    <t>Tipo de Serviços</t>
  </si>
  <si>
    <t>Apoio Administrativo</t>
  </si>
  <si>
    <t>Carga Horária</t>
  </si>
  <si>
    <t>44h</t>
  </si>
  <si>
    <t>12x36 (Diurno)</t>
  </si>
  <si>
    <t>12x36 (Noturno)</t>
  </si>
  <si>
    <t>Salário Normativo da Categoria Profissional</t>
  </si>
  <si>
    <t>Ano Acordo, Convenções ou Setença Normativa em Dissídio Coletivo</t>
  </si>
  <si>
    <t>Almoxarife</t>
  </si>
  <si>
    <t>Composição da Remuneração</t>
  </si>
  <si>
    <t>%</t>
  </si>
  <si>
    <t>Valor (R$)</t>
  </si>
  <si>
    <t>A</t>
  </si>
  <si>
    <t>Salário Base</t>
  </si>
  <si>
    <t>B</t>
  </si>
  <si>
    <t>C</t>
  </si>
  <si>
    <t>D</t>
  </si>
  <si>
    <t>E</t>
  </si>
  <si>
    <t>Adicional de Hora Noturna Reduzida</t>
  </si>
  <si>
    <t>F</t>
  </si>
  <si>
    <t>Outros</t>
  </si>
  <si>
    <t>TOTAL DA REMUNERAÇÃO - MODULO 1</t>
  </si>
  <si>
    <t>Submódulo 2.1 – 13º Salário, Férias e Adicional de Férias</t>
  </si>
  <si>
    <t>13º Salário, Férias e Adicional de Férias</t>
  </si>
  <si>
    <t>13º (décimo terceiro) salário</t>
  </si>
  <si>
    <t>Férias e Adicional de Férias</t>
  </si>
  <si>
    <t>TOTAL SUBMÓDULO 2.1</t>
  </si>
  <si>
    <t>Submódulo 2.2 – GPS, FGTS e Outras Contribuições</t>
  </si>
  <si>
    <t>GPS, FGTS e Outras Contribuições</t>
  </si>
  <si>
    <t>INSS</t>
  </si>
  <si>
    <t>Salário Educação</t>
  </si>
  <si>
    <t>SESC ou SESI</t>
  </si>
  <si>
    <t>SENAI-SENAC</t>
  </si>
  <si>
    <t>SEBRAE</t>
  </si>
  <si>
    <t>G</t>
  </si>
  <si>
    <t>INCRA</t>
  </si>
  <si>
    <t>H</t>
  </si>
  <si>
    <t>FGTS</t>
  </si>
  <si>
    <t>TOTAL SUBMODULO 2.2</t>
  </si>
  <si>
    <t>Submódulo 2.3 – Benefícios Mensais e Diários</t>
  </si>
  <si>
    <t>Benefícios Mensais e Diários</t>
  </si>
  <si>
    <t>Unitário:</t>
  </si>
  <si>
    <t>Auxílio Cesta Básica</t>
  </si>
  <si>
    <t>Plano de Saúde</t>
  </si>
  <si>
    <t>Auxílio Funeral, Seguro de Vida</t>
  </si>
  <si>
    <t>Intervalo Intrajornada</t>
  </si>
  <si>
    <t>TOTAL SUBMÓDULO 2.3</t>
  </si>
  <si>
    <t>Módulo 2 - Encargos e Benefícios Anuais, Mensais e Diários</t>
  </si>
  <si>
    <t>2.1</t>
  </si>
  <si>
    <t>2.2</t>
  </si>
  <si>
    <t>2.3</t>
  </si>
  <si>
    <t>TOTAL DO MÓDULO 2</t>
  </si>
  <si>
    <t>MÓDULO 3 –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</si>
  <si>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</si>
  <si>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</si>
  <si>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</si>
  <si>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</si>
  <si>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</si>
  <si>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t>TOTAL MÓDULO 3</t>
  </si>
  <si>
    <t>MÓDULO 4 - CUSTO DE REPOSIÇÃO DO PROFISSIONAL AUSENTE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</si>
  <si>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</si>
  <si>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</si>
  <si>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</si>
  <si>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</si>
  <si>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</si>
  <si>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</si>
  <si>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</si>
  <si>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</si>
  <si>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</si>
  <si>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</si>
  <si>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Substituto na Intrajornada</t>
  </si>
  <si>
    <t>Substituto na cobertura de Intervalo para repouso ou alimentação</t>
  </si>
  <si>
    <t>TOTAL SUBMODULO 4.2</t>
  </si>
  <si>
    <t>QUADRO-RESUMO DO MÓDULO 4 - CUSTO DE REPOSIÇÃO DO PROFISSIONAL AUSENTE</t>
  </si>
  <si>
    <t>Módulo 4 - Custo de Reposição do Profissional Ausente</t>
  </si>
  <si>
    <t>4.1</t>
  </si>
  <si>
    <t>4.2</t>
  </si>
  <si>
    <t>TOTAL DO MÓDULO 4</t>
  </si>
  <si>
    <t>Insumos Diversos</t>
  </si>
  <si>
    <t>Uniformes</t>
  </si>
  <si>
    <t>Materiais</t>
  </si>
  <si>
    <t>Equipamentos</t>
  </si>
  <si>
    <t>Outros (especificar)</t>
  </si>
  <si>
    <t>TOTAL MÓDULO 5</t>
  </si>
  <si>
    <t>MÓDULO 6 – CUSTOS INDIRETOS, TRIBUTOS E LUCROS</t>
  </si>
  <si>
    <t>Custos indiretos, Tributos e Lucro</t>
  </si>
  <si>
    <t>Custos indiretos</t>
  </si>
  <si>
    <t>Lucro</t>
  </si>
  <si>
    <t>Tributos</t>
  </si>
  <si>
    <t>C1. Tributos Federais (especificar)</t>
  </si>
  <si>
    <t>C1.1 PIS</t>
  </si>
  <si>
    <t>C1.2 CONFINS</t>
  </si>
  <si>
    <t>C.2 Tributos Estaduais (especificar)</t>
  </si>
  <si>
    <t>C.3 ISS</t>
  </si>
  <si>
    <t>TOTAL DO MÓDULO 6</t>
  </si>
  <si>
    <t>QUADRO RESUMO DO CUSTO POR EMPREGADO</t>
  </si>
  <si>
    <t>MÃO DE OBRA VINCULADA À EXECUÇÃO CONTRATUAL (valor por empregado)</t>
  </si>
  <si>
    <t>Valor Unit.(R$)</t>
  </si>
  <si>
    <t>MÓDULO 1 – COMPOSIÇÃO DA REMUNERAÇÃO</t>
  </si>
  <si>
    <t>MÓDULO 2 - ENCARGOS E BENEFICIOS ANUAIS, MENSAIS E DIÁRIOS</t>
  </si>
  <si>
    <t>MÓDULO 3 - PROVISÃO PARA RESCISÃO</t>
  </si>
  <si>
    <t>MÓDULO 4 - CUSTO DE RESPOSIÇÃO DO PROFISSIONAL AUSENTE</t>
  </si>
  <si>
    <t>MÓDULO 5 - INSUMOS DIVERSOS</t>
  </si>
  <si>
    <t>SUBTOTAL (A+B+C+D+E)</t>
  </si>
  <si>
    <t>MÓDULO 6 –  CUSTOS INDIRETOS, TRIBUTOS E LUCROS</t>
  </si>
  <si>
    <t>VALOR TOTAL POR EMPREGADO</t>
  </si>
  <si>
    <t>TIPO</t>
  </si>
  <si>
    <t>ESPECIFICAÇÃO</t>
  </si>
  <si>
    <t>UNIDADE</t>
  </si>
  <si>
    <t>VALOR ESTIMADO</t>
  </si>
  <si>
    <t>VALOR UNITÁRIO</t>
  </si>
  <si>
    <t>VALOR TOTAL</t>
  </si>
  <si>
    <t>UMA</t>
  </si>
  <si>
    <t>UM</t>
  </si>
  <si>
    <t>PAR</t>
  </si>
  <si>
    <t>VALOR TOTAL ANUAL POR FUNCIONÁRIO</t>
  </si>
  <si>
    <t>VALOR MENSAL POR FUNCIONÁRIO</t>
  </si>
  <si>
    <t>ESTIMATIVA DE CUSTOS APOIO ADMINISTRATIVO</t>
  </si>
  <si>
    <t>Ord</t>
  </si>
  <si>
    <t>DISCRIMINAÇÃO</t>
  </si>
  <si>
    <t>UND.</t>
  </si>
  <si>
    <t>QUANT. POSTOS</t>
  </si>
  <si>
    <t>QUANT. FUNCIONÁRIO P/ POSTO</t>
  </si>
  <si>
    <t>QUANT. FUNCIONÁRIOS</t>
  </si>
  <si>
    <t>VLR POR FUNCIONÁRIO</t>
  </si>
  <si>
    <t>VLR POR POSTO</t>
  </si>
  <si>
    <t>VLR TOTAL MENSAL DOS POSTOS</t>
  </si>
  <si>
    <t>VALOR TOTAL 12 MESES</t>
  </si>
  <si>
    <t>POSTO</t>
  </si>
  <si>
    <t>VALOR GLOBAL</t>
  </si>
  <si>
    <t>Aux. De Almoxarife</t>
  </si>
  <si>
    <r>
      <t xml:space="preserve">MÓDULO 1 – </t>
    </r>
    <r>
      <rPr>
        <b/>
        <sz val="12"/>
        <rFont val="Calibri"/>
        <family val="2"/>
      </rPr>
      <t>COMPOSIÇÃO DA REMUNERAÇÃO</t>
    </r>
  </si>
  <si>
    <r>
      <t xml:space="preserve">MÓDULO 2 – ENCARGOS E </t>
    </r>
    <r>
      <rPr>
        <b/>
        <sz val="12"/>
        <rFont val="Calibri"/>
        <family val="2"/>
      </rPr>
      <t>BENEFICIOS ANUAIS, MENSAIS E DIÁRIOS</t>
    </r>
  </si>
  <si>
    <r>
      <t xml:space="preserve">QUADRO-RESUMO DO MÓDULO 2 – ENCARGOS E </t>
    </r>
    <r>
      <rPr>
        <b/>
        <sz val="12"/>
        <rFont val="Calibri"/>
        <family val="2"/>
      </rPr>
      <t>BENEFICIOS ANUAIS, MENSAIS E DIÁRIOS</t>
    </r>
  </si>
  <si>
    <r>
      <t>Multa do FGTS e contribuição social sobre o Aviso Prévio</t>
    </r>
    <r>
      <rPr>
        <b/>
        <sz val="12"/>
        <rFont val="Calibri"/>
        <family val="2"/>
      </rPr>
      <t xml:space="preserve"> Indenizado e Trabalhado</t>
    </r>
  </si>
  <si>
    <r>
      <t>MÓDULO 5 –</t>
    </r>
    <r>
      <rPr>
        <b/>
        <sz val="12"/>
        <rFont val="Calibri"/>
        <family val="2"/>
      </rPr>
      <t xml:space="preserve"> INSUMOS DIVERSOS</t>
    </r>
  </si>
  <si>
    <t>EMPRESA BRASILEIRA DE SERVIÇOS HOSPITALARES</t>
  </si>
  <si>
    <t>HOSPITAL UNIVERSITÁRIO DA UNIVERSIDADE FEDERAL DO MARANHÃO</t>
  </si>
  <si>
    <t>GERÊNCIA ADMINISTRATIVA</t>
  </si>
  <si>
    <t>SETOR DE ADMINISTRAÇÃO</t>
  </si>
  <si>
    <t>COMISSÃO DE ANÁLISE DE PLANILHAS DE CUSTOS E FORMAÇÃO DE PREÇOS</t>
  </si>
  <si>
    <t>CCT 2021/2021 - SEAC-MA
MTE n.º MA00027/2021</t>
  </si>
  <si>
    <t>01 de Janeiro</t>
  </si>
  <si>
    <t>CALÇA DE SARJA</t>
  </si>
  <si>
    <t>COMPRIDA, COR AZUL MARINHO, COM BRAGUILHA FORRADA, 02 BOLSOS LATERAIS, 02 TRASEIROS.</t>
  </si>
  <si>
    <t>CAMISA “POLO”</t>
  </si>
  <si>
    <t>COR CINZA COM MANGAS CURTAS, GOLA MODELO “POLO” E EMBLEMA DA EMPRESA BORDADO NO LADO SUPERIOR ESQUERDO.</t>
  </si>
  <si>
    <t>SAPATO</t>
  </si>
  <si>
    <t>CRACHÁ</t>
  </si>
  <si>
    <t>CRACHÁ EM PVC</t>
  </si>
  <si>
    <t>AUX. DE ALMOXARIFE</t>
  </si>
  <si>
    <t>UNID.</t>
  </si>
  <si>
    <t>QUANTIDADE ANUAL POR EMPREGADO</t>
  </si>
  <si>
    <t>EQUIPAMENTOS DE PROTEÇÃO INDIVIDUAL - EPI</t>
  </si>
  <si>
    <t>LUVAS</t>
  </si>
  <si>
    <t>MÁSCARA</t>
  </si>
  <si>
    <t>CINTA</t>
  </si>
  <si>
    <t>ÓCULOS</t>
  </si>
  <si>
    <t xml:space="preserve">VALOR TOTAL 
</t>
  </si>
  <si>
    <t>ALMOXARIFE / SUPERVISOR DE ALMOXARIFE</t>
  </si>
  <si>
    <t>UNIFORMES</t>
  </si>
  <si>
    <t>PAR DE LUVAS DE MALHA (NO MANUSEIO DE CAIXAS E SUPERFÍCIES CORTANTES/ABRASIVAS).</t>
  </si>
  <si>
    <t>-</t>
  </si>
  <si>
    <t>Pesquisa de Mercado (2021)</t>
  </si>
  <si>
    <t>Supervisor de Almoxarifado</t>
  </si>
  <si>
    <t>Adicional Insalubridade</t>
  </si>
  <si>
    <t>Adicional Noturno (20% - 22h às 05h) - (Art. 73 da CLT)</t>
  </si>
  <si>
    <t>Categoria Profissional (vinculada à execução contratual )</t>
  </si>
  <si>
    <t xml:space="preserve">Data Base da Categoria </t>
  </si>
  <si>
    <t>SAT (Seguro Acidente do Trabalho) X FAP (0,5 a 2,0) - (VARIAÇÃO: 0,5% a 6%)</t>
  </si>
  <si>
    <t>Auxílio-Refeição</t>
  </si>
  <si>
    <t>Transporte (Percentual de Dedução - 6%) - (Decreto 95.247/97)</t>
  </si>
  <si>
    <t>ÓCULOS DE PROTEÇÃO.</t>
  </si>
  <si>
    <t>CINTA DE SEGURANÇA DE PROTEÇÃO A COLUNA.</t>
  </si>
  <si>
    <t>MÁSCARA SEMI-FACIAL COM FILTRO PARA POEIRAS (PARA LOCAIS COM EXCESSO DE POEIRA), COM TROCA DE FILTRO.</t>
  </si>
  <si>
    <t xml:space="preserve"> MÁSCARA SEMI-FACIAL COM FILTRO PARA POEIRAS (PARA LOCAIS COM EXCESSO DE POEIRA), COM TROCA DE FILTRO.</t>
  </si>
  <si>
    <t>CRACHÁ EM PVC.</t>
  </si>
  <si>
    <t>PAR DE BOTAS DE SEGURANÇA COM BIQUEIRA EM POLIURETANO.</t>
  </si>
  <si>
    <r>
      <t>POSTO</t>
    </r>
    <r>
      <rPr>
        <b/>
        <sz val="12"/>
        <color indexed="8"/>
        <rFont val="Tahoma"/>
        <family val="2"/>
      </rPr>
      <t xml:space="preserve"> ALMOXARIFE </t>
    </r>
    <r>
      <rPr>
        <sz val="12"/>
        <color rgb="FF000000"/>
        <rFont val="Tahoma"/>
        <family val="2"/>
      </rPr>
      <t>12X36</t>
    </r>
    <r>
      <rPr>
        <sz val="12"/>
        <color indexed="8"/>
        <rFont val="Tahoma"/>
        <family val="2"/>
      </rPr>
      <t xml:space="preserve"> HS DIURNO
02 COLABORADORES POR POSTO</t>
    </r>
  </si>
  <si>
    <r>
      <t>POSTO</t>
    </r>
    <r>
      <rPr>
        <b/>
        <sz val="12"/>
        <color indexed="8"/>
        <rFont val="Tahoma"/>
        <family val="2"/>
      </rPr>
      <t xml:space="preserve"> AUX. DE ALMOXARIFE </t>
    </r>
    <r>
      <rPr>
        <sz val="12"/>
        <color rgb="FF000000"/>
        <rFont val="Tahoma"/>
        <family val="2"/>
      </rPr>
      <t>44 HS</t>
    </r>
    <r>
      <rPr>
        <sz val="12"/>
        <color indexed="8"/>
        <rFont val="Tahoma"/>
        <family val="2"/>
      </rPr>
      <t xml:space="preserve"> SEMANAIS
01 COLABORADORE POR POSTO</t>
    </r>
  </si>
  <si>
    <r>
      <t>POSTO</t>
    </r>
    <r>
      <rPr>
        <b/>
        <sz val="12"/>
        <color indexed="8"/>
        <rFont val="Tahoma"/>
        <family val="2"/>
      </rPr>
      <t xml:space="preserve"> AUX. DE ALMOXARIFE </t>
    </r>
    <r>
      <rPr>
        <sz val="12"/>
        <color indexed="8"/>
        <rFont val="Tahoma"/>
        <family val="2"/>
      </rPr>
      <t>12X36 DIURNO
02 COLABORADORES POR POSTO</t>
    </r>
  </si>
  <si>
    <r>
      <t>POSTO</t>
    </r>
    <r>
      <rPr>
        <b/>
        <sz val="12"/>
        <color indexed="8"/>
        <rFont val="Tahoma"/>
        <family val="2"/>
      </rPr>
      <t xml:space="preserve"> AUX. DE ALMOXARIFE </t>
    </r>
    <r>
      <rPr>
        <sz val="12"/>
        <color indexed="8"/>
        <rFont val="Tahoma"/>
        <family val="2"/>
      </rPr>
      <t>12X36 NOTURNO
02 COLABORADORES POR POSTO</t>
    </r>
  </si>
  <si>
    <r>
      <t xml:space="preserve">POSTO </t>
    </r>
    <r>
      <rPr>
        <b/>
        <sz val="12"/>
        <color theme="1"/>
        <rFont val="Tahoma"/>
        <family val="2"/>
      </rPr>
      <t xml:space="preserve">SUPERVISOR 12x36 </t>
    </r>
    <r>
      <rPr>
        <sz val="12"/>
        <color theme="1"/>
        <rFont val="Tahoma"/>
        <family val="2"/>
      </rPr>
      <t>DIURNO
02 COLABORADORES POR POSTO</t>
    </r>
  </si>
  <si>
    <r>
      <rPr>
        <sz val="12"/>
        <color rgb="FF000000"/>
        <rFont val="Tahoma"/>
        <family val="2"/>
      </rPr>
      <t>POSTO</t>
    </r>
    <r>
      <rPr>
        <b/>
        <sz val="12"/>
        <color indexed="8"/>
        <rFont val="Tahoma"/>
        <family val="2"/>
      </rPr>
      <t xml:space="preserve"> ALMOXARIFE </t>
    </r>
    <r>
      <rPr>
        <sz val="12"/>
        <color indexed="8"/>
        <rFont val="Tahoma"/>
        <family val="2"/>
      </rPr>
      <t>44 HS SEMANAIS
01 COLABORADOR POR POSTO</t>
    </r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</si>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</sst>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[$R$-416]\ #,##0.00;[Red]\-[$R$-416]\ #,##0.00"/>
    <numFmt numFmtId="168" formatCode="&quot; R$&quot;#,##0.00\ ;&quot; R$(&quot;#,##0.00\);&quot; R$-&quot;#\ ;@\ "/>
    <numFmt numFmtId="169" formatCode="_(* #,##0.00_);_(* \(#,##0.00\);_(* \-??_);_(@_)"/>
    <numFmt numFmtId="170" formatCode="0.000%"/>
    <numFmt numFmtId="171" formatCode="0.0000"/>
  </numFmts>
  <fonts count="3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sz val="11"/>
      <color indexed="8"/>
      <name val="Arial"/>
      <family val="2"/>
    </font>
    <font>
      <sz val="10"/>
      <color indexed="8"/>
      <name val="Arial1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ahoma"/>
      <family val="2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b/>
      <sz val="14"/>
      <color theme="1"/>
      <name val="Tahoma"/>
      <family val="2"/>
    </font>
    <font>
      <b/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</font>
    <font>
      <b/>
      <sz val="12"/>
      <color indexed="8"/>
      <name val="Tahoma"/>
      <family val="2"/>
    </font>
    <font>
      <sz val="12"/>
      <color indexed="8"/>
      <name val="Tahoma"/>
      <family val="2"/>
    </font>
    <font>
      <sz val="12"/>
      <color rgb="FF000000"/>
      <name val="Tahoma"/>
      <family val="2"/>
    </font>
    <font>
      <b/>
      <sz val="14"/>
      <color indexed="8"/>
      <name val="Calibri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hair">
        <color indexed="8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indexed="8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</borders>
  <cellStyleXfs count="32">
    <xf numFmtId="0" fontId="0" fillId="0" borderId="0"/>
    <xf numFmtId="0" fontId="3" fillId="0" borderId="0" applyNumberFormat="0" applyBorder="0" applyProtection="0"/>
    <xf numFmtId="168" fontId="6" fillId="0" borderId="0" applyBorder="0" applyProtection="0"/>
    <xf numFmtId="9" fontId="6" fillId="0" borderId="0" applyBorder="0" applyProtection="0"/>
    <xf numFmtId="0" fontId="7" fillId="0" borderId="0" applyNumberFormat="0" applyBorder="0" applyProtection="0">
      <alignment horizontal="center"/>
    </xf>
    <xf numFmtId="0" fontId="7" fillId="0" borderId="0" applyNumberFormat="0" applyBorder="0" applyProtection="0">
      <alignment horizontal="center" textRotation="90"/>
    </xf>
    <xf numFmtId="44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6" fillId="0" borderId="0" applyNumberFormat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" fillId="0" borderId="0" applyNumberFormat="0" applyBorder="0" applyProtection="0"/>
    <xf numFmtId="167" fontId="8" fillId="0" borderId="0" applyBorder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2" fillId="0" borderId="0" applyFill="0" applyBorder="0" applyAlignment="0" applyProtection="0"/>
    <xf numFmtId="0" fontId="4" fillId="0" borderId="1" applyNumberFormat="0" applyFill="0" applyAlignment="0" applyProtection="0"/>
    <xf numFmtId="43" fontId="9" fillId="0" borderId="0" applyFont="0" applyFill="0" applyBorder="0" applyAlignment="0" applyProtection="0"/>
  </cellStyleXfs>
  <cellXfs count="212">
    <xf numFmtId="0" fontId="0" fillId="0" borderId="0" xfId="0"/>
    <xf numFmtId="0" fontId="12" fillId="0" borderId="0" xfId="21" applyFont="1"/>
    <xf numFmtId="0" fontId="12" fillId="0" borderId="0" xfId="21" applyFont="1" applyBorder="1"/>
    <xf numFmtId="0" fontId="0" fillId="0" borderId="0" xfId="0" applyFill="1"/>
    <xf numFmtId="44" fontId="9" fillId="0" borderId="0" xfId="6" applyFont="1" applyFill="1"/>
    <xf numFmtId="0" fontId="14" fillId="0" borderId="0" xfId="0" applyFont="1" applyAlignment="1">
      <alignment vertical="center"/>
    </xf>
    <xf numFmtId="0" fontId="13" fillId="0" borderId="0" xfId="21" applyFont="1"/>
    <xf numFmtId="0" fontId="13" fillId="0" borderId="0" xfId="21" applyFont="1" applyFill="1" applyBorder="1" applyAlignment="1">
      <alignment vertical="center" wrapText="1"/>
    </xf>
    <xf numFmtId="43" fontId="15" fillId="0" borderId="0" xfId="21" applyNumberFormat="1" applyFont="1"/>
    <xf numFmtId="43" fontId="13" fillId="0" borderId="0" xfId="21" applyNumberFormat="1" applyFont="1"/>
    <xf numFmtId="171" fontId="10" fillId="0" borderId="0" xfId="21" applyNumberFormat="1" applyFont="1"/>
    <xf numFmtId="43" fontId="16" fillId="0" borderId="0" xfId="21" applyNumberFormat="1" applyFont="1"/>
    <xf numFmtId="43" fontId="16" fillId="0" borderId="0" xfId="31" applyNumberFormat="1" applyFont="1" applyFill="1" applyBorder="1" applyAlignment="1">
      <alignment vertical="center" wrapText="1"/>
    </xf>
    <xf numFmtId="43" fontId="12" fillId="0" borderId="0" xfId="21" applyNumberFormat="1" applyFont="1" applyBorder="1"/>
    <xf numFmtId="0" fontId="14" fillId="0" borderId="0" xfId="0" applyFont="1" applyAlignment="1">
      <alignment horizontal="center" vertical="center"/>
    </xf>
    <xf numFmtId="0" fontId="12" fillId="0" borderId="0" xfId="21" applyFont="1" applyFill="1"/>
    <xf numFmtId="0" fontId="22" fillId="0" borderId="6" xfId="21" applyFont="1" applyFill="1" applyBorder="1" applyAlignment="1">
      <alignment horizontal="center" vertical="center" wrapText="1"/>
    </xf>
    <xf numFmtId="167" fontId="22" fillId="4" borderId="7" xfId="21" applyNumberFormat="1" applyFont="1" applyFill="1" applyBorder="1" applyAlignment="1">
      <alignment horizontal="center" vertical="center" wrapText="1"/>
    </xf>
    <xf numFmtId="167" fontId="22" fillId="0" borderId="7" xfId="21" applyNumberFormat="1" applyFont="1" applyFill="1" applyBorder="1" applyAlignment="1">
      <alignment horizontal="center" vertical="center" wrapText="1"/>
    </xf>
    <xf numFmtId="167" fontId="22" fillId="0" borderId="8" xfId="21" applyNumberFormat="1" applyFont="1" applyFill="1" applyBorder="1" applyAlignment="1">
      <alignment horizontal="center" vertical="center" wrapText="1"/>
    </xf>
    <xf numFmtId="0" fontId="22" fillId="0" borderId="3" xfId="21" applyFont="1" applyFill="1" applyBorder="1" applyAlignment="1">
      <alignment horizontal="center" vertical="center" wrapText="1"/>
    </xf>
    <xf numFmtId="167" fontId="22" fillId="4" borderId="2" xfId="21" applyNumberFormat="1" applyFont="1" applyFill="1" applyBorder="1" applyAlignment="1">
      <alignment horizontal="center" vertical="center"/>
    </xf>
    <xf numFmtId="167" fontId="22" fillId="4" borderId="4" xfId="21" applyNumberFormat="1" applyFont="1" applyFill="1" applyBorder="1" applyAlignment="1">
      <alignment horizontal="center" vertical="center"/>
    </xf>
    <xf numFmtId="44" fontId="22" fillId="4" borderId="2" xfId="6" applyFont="1" applyFill="1" applyBorder="1" applyAlignment="1">
      <alignment vertical="center"/>
    </xf>
    <xf numFmtId="0" fontId="22" fillId="0" borderId="3" xfId="21" applyFont="1" applyFill="1" applyBorder="1" applyAlignment="1">
      <alignment horizontal="center" vertical="center" wrapText="1"/>
    </xf>
    <xf numFmtId="0" fontId="22" fillId="0" borderId="2" xfId="21" applyFont="1" applyFill="1" applyBorder="1" applyAlignment="1">
      <alignment horizontal="center" vertical="center" wrapText="1"/>
    </xf>
    <xf numFmtId="0" fontId="22" fillId="0" borderId="4" xfId="21" applyFont="1" applyFill="1" applyBorder="1" applyAlignment="1">
      <alignment horizontal="center" vertical="center" wrapText="1"/>
    </xf>
    <xf numFmtId="9" fontId="23" fillId="0" borderId="2" xfId="21" applyNumberFormat="1" applyFont="1" applyFill="1" applyBorder="1" applyAlignment="1">
      <alignment horizontal="center" vertical="center" wrapText="1"/>
    </xf>
    <xf numFmtId="44" fontId="23" fillId="0" borderId="2" xfId="6" applyFont="1" applyFill="1" applyBorder="1" applyAlignment="1">
      <alignment vertical="center"/>
    </xf>
    <xf numFmtId="44" fontId="23" fillId="0" borderId="4" xfId="6" applyFont="1" applyFill="1" applyBorder="1" applyAlignment="1">
      <alignment vertical="center"/>
    </xf>
    <xf numFmtId="44" fontId="23" fillId="0" borderId="2" xfId="6" applyNumberFormat="1" applyFont="1" applyFill="1" applyBorder="1" applyAlignment="1">
      <alignment vertical="center"/>
    </xf>
    <xf numFmtId="44" fontId="23" fillId="0" borderId="4" xfId="6" applyNumberFormat="1" applyFont="1" applyFill="1" applyBorder="1" applyAlignment="1">
      <alignment vertical="center"/>
    </xf>
    <xf numFmtId="0" fontId="22" fillId="0" borderId="11" xfId="21" applyFont="1" applyFill="1" applyBorder="1" applyAlignment="1">
      <alignment horizontal="center" vertical="center" wrapText="1"/>
    </xf>
    <xf numFmtId="44" fontId="22" fillId="0" borderId="5" xfId="6" applyNumberFormat="1" applyFont="1" applyFill="1" applyBorder="1" applyAlignment="1">
      <alignment vertical="center"/>
    </xf>
    <xf numFmtId="44" fontId="22" fillId="0" borderId="10" xfId="6" applyNumberFormat="1" applyFont="1" applyFill="1" applyBorder="1" applyAlignment="1">
      <alignment vertical="center"/>
    </xf>
    <xf numFmtId="170" fontId="23" fillId="0" borderId="2" xfId="22" applyNumberFormat="1" applyFont="1" applyFill="1" applyBorder="1" applyAlignment="1">
      <alignment vertical="center"/>
    </xf>
    <xf numFmtId="10" fontId="23" fillId="0" borderId="2" xfId="22" applyNumberFormat="1" applyFont="1" applyFill="1" applyBorder="1" applyAlignment="1">
      <alignment vertical="center"/>
    </xf>
    <xf numFmtId="10" fontId="22" fillId="0" borderId="2" xfId="22" applyNumberFormat="1" applyFont="1" applyFill="1" applyBorder="1" applyAlignment="1">
      <alignment vertical="center"/>
    </xf>
    <xf numFmtId="44" fontId="22" fillId="0" borderId="2" xfId="6" applyNumberFormat="1" applyFont="1" applyFill="1" applyBorder="1" applyAlignment="1">
      <alignment vertical="center"/>
    </xf>
    <xf numFmtId="44" fontId="22" fillId="0" borderId="4" xfId="6" applyNumberFormat="1" applyFont="1" applyFill="1" applyBorder="1" applyAlignment="1">
      <alignment vertical="center"/>
    </xf>
    <xf numFmtId="0" fontId="23" fillId="0" borderId="2" xfId="21" applyFont="1" applyFill="1" applyBorder="1" applyAlignment="1">
      <alignment vertical="center" wrapText="1"/>
    </xf>
    <xf numFmtId="43" fontId="23" fillId="0" borderId="2" xfId="7" applyNumberFormat="1" applyFont="1" applyFill="1" applyBorder="1" applyAlignment="1">
      <alignment vertical="center"/>
    </xf>
    <xf numFmtId="44" fontId="22" fillId="0" borderId="9" xfId="6" applyNumberFormat="1" applyFont="1" applyFill="1" applyBorder="1" applyAlignment="1">
      <alignment vertical="center"/>
    </xf>
    <xf numFmtId="44" fontId="22" fillId="0" borderId="19" xfId="6" applyNumberFormat="1" applyFont="1" applyFill="1" applyBorder="1" applyAlignment="1">
      <alignment vertical="center"/>
    </xf>
    <xf numFmtId="44" fontId="22" fillId="0" borderId="2" xfId="21" applyNumberFormat="1" applyFont="1" applyFill="1" applyBorder="1" applyAlignment="1">
      <alignment horizontal="center" vertical="center" wrapText="1"/>
    </xf>
    <xf numFmtId="44" fontId="22" fillId="0" borderId="4" xfId="21" applyNumberFormat="1" applyFont="1" applyFill="1" applyBorder="1" applyAlignment="1">
      <alignment horizontal="center" vertical="center" wrapText="1"/>
    </xf>
    <xf numFmtId="44" fontId="22" fillId="0" borderId="3" xfId="21" applyNumberFormat="1" applyFont="1" applyFill="1" applyBorder="1" applyAlignment="1">
      <alignment horizontal="center" vertical="center" wrapText="1"/>
    </xf>
    <xf numFmtId="0" fontId="22" fillId="0" borderId="13" xfId="21" applyFont="1" applyFill="1" applyBorder="1" applyAlignment="1">
      <alignment horizontal="center" vertical="center" wrapText="1"/>
    </xf>
    <xf numFmtId="43" fontId="22" fillId="0" borderId="13" xfId="7" applyNumberFormat="1" applyFont="1" applyFill="1" applyBorder="1" applyAlignment="1">
      <alignment vertical="center"/>
    </xf>
    <xf numFmtId="10" fontId="22" fillId="0" borderId="5" xfId="22" applyNumberFormat="1" applyFont="1" applyFill="1" applyBorder="1" applyAlignment="1">
      <alignment vertical="center"/>
    </xf>
    <xf numFmtId="10" fontId="23" fillId="0" borderId="2" xfId="22" applyNumberFormat="1" applyFont="1" applyFill="1" applyBorder="1" applyAlignment="1">
      <alignment horizontal="center" vertical="center"/>
    </xf>
    <xf numFmtId="44" fontId="22" fillId="0" borderId="5" xfId="6" applyFont="1" applyFill="1" applyBorder="1" applyAlignment="1">
      <alignment vertical="center"/>
    </xf>
    <xf numFmtId="44" fontId="22" fillId="0" borderId="10" xfId="6" applyFont="1" applyFill="1" applyBorder="1" applyAlignment="1">
      <alignment vertical="center"/>
    </xf>
    <xf numFmtId="0" fontId="22" fillId="0" borderId="3" xfId="14" applyFont="1" applyFill="1" applyBorder="1" applyAlignment="1">
      <alignment horizontal="center" vertical="center" wrapText="1"/>
    </xf>
    <xf numFmtId="43" fontId="23" fillId="0" borderId="4" xfId="7" applyNumberFormat="1" applyFont="1" applyFill="1" applyBorder="1" applyAlignment="1">
      <alignment vertical="center"/>
    </xf>
    <xf numFmtId="0" fontId="23" fillId="0" borderId="3" xfId="21" applyFont="1" applyFill="1" applyBorder="1" applyAlignment="1">
      <alignment horizontal="center" vertical="center" wrapText="1"/>
    </xf>
    <xf numFmtId="10" fontId="23" fillId="0" borderId="2" xfId="3" applyNumberFormat="1" applyFont="1" applyFill="1" applyBorder="1" applyAlignment="1" applyProtection="1">
      <alignment horizontal="right" vertical="center" wrapText="1"/>
    </xf>
    <xf numFmtId="43" fontId="22" fillId="0" borderId="5" xfId="7" applyNumberFormat="1" applyFont="1" applyFill="1" applyBorder="1" applyAlignment="1">
      <alignment vertical="center"/>
    </xf>
    <xf numFmtId="43" fontId="22" fillId="0" borderId="10" xfId="7" applyNumberFormat="1" applyFont="1" applyFill="1" applyBorder="1" applyAlignment="1">
      <alignment vertical="center"/>
    </xf>
    <xf numFmtId="43" fontId="22" fillId="0" borderId="2" xfId="7" applyNumberFormat="1" applyFont="1" applyFill="1" applyBorder="1" applyAlignment="1">
      <alignment vertical="center"/>
    </xf>
    <xf numFmtId="43" fontId="22" fillId="0" borderId="4" xfId="7" applyNumberFormat="1" applyFont="1" applyFill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44" fontId="19" fillId="0" borderId="2" xfId="6" applyFont="1" applyBorder="1" applyAlignment="1">
      <alignment horizontal="center" vertical="center"/>
    </xf>
    <xf numFmtId="44" fontId="19" fillId="0" borderId="4" xfId="6" applyFont="1" applyBorder="1" applyAlignment="1">
      <alignment horizontal="center" vertical="center"/>
    </xf>
    <xf numFmtId="44" fontId="19" fillId="3" borderId="5" xfId="6" applyFont="1" applyFill="1" applyBorder="1" applyAlignment="1">
      <alignment horizontal="center" vertical="center"/>
    </xf>
    <xf numFmtId="44" fontId="18" fillId="3" borderId="5" xfId="6" applyFont="1" applyFill="1" applyBorder="1" applyAlignment="1">
      <alignment vertical="center"/>
    </xf>
    <xf numFmtId="44" fontId="18" fillId="3" borderId="10" xfId="6" applyFont="1" applyFill="1" applyBorder="1" applyAlignment="1">
      <alignment vertical="center"/>
    </xf>
    <xf numFmtId="0" fontId="28" fillId="4" borderId="0" xfId="0" applyFont="1" applyFill="1" applyAlignment="1"/>
    <xf numFmtId="0" fontId="18" fillId="3" borderId="3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9" fillId="0" borderId="2" xfId="21" applyFont="1" applyBorder="1" applyAlignment="1">
      <alignment horizontal="center" vertical="center" wrapText="1"/>
    </xf>
    <xf numFmtId="14" fontId="12" fillId="0" borderId="5" xfId="21" applyNumberFormat="1" applyFont="1" applyBorder="1" applyAlignment="1">
      <alignment horizontal="center"/>
    </xf>
    <xf numFmtId="44" fontId="22" fillId="4" borderId="4" xfId="6" applyFont="1" applyFill="1" applyBorder="1" applyAlignment="1">
      <alignment vertical="center"/>
    </xf>
    <xf numFmtId="167" fontId="22" fillId="4" borderId="2" xfId="21" applyNumberFormat="1" applyFont="1" applyFill="1" applyBorder="1" applyAlignment="1">
      <alignment horizontal="center" vertical="center" wrapText="1"/>
    </xf>
    <xf numFmtId="167" fontId="22" fillId="4" borderId="4" xfId="21" applyNumberFormat="1" applyFont="1" applyFill="1" applyBorder="1" applyAlignment="1">
      <alignment horizontal="center" vertical="center" wrapText="1"/>
    </xf>
    <xf numFmtId="0" fontId="29" fillId="0" borderId="4" xfId="21" applyFont="1" applyBorder="1" applyAlignment="1">
      <alignment horizontal="center" vertical="center" wrapText="1"/>
    </xf>
    <xf numFmtId="14" fontId="12" fillId="0" borderId="10" xfId="21" applyNumberFormat="1" applyFont="1" applyBorder="1" applyAlignment="1">
      <alignment horizontal="center"/>
    </xf>
    <xf numFmtId="44" fontId="11" fillId="3" borderId="4" xfId="0" applyNumberFormat="1" applyFont="1" applyFill="1" applyBorder="1"/>
    <xf numFmtId="44" fontId="11" fillId="3" borderId="10" xfId="0" applyNumberFormat="1" applyFont="1" applyFill="1" applyBorder="1"/>
    <xf numFmtId="0" fontId="0" fillId="2" borderId="0" xfId="0" applyFill="1"/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17" fillId="0" borderId="32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44" fontId="11" fillId="0" borderId="33" xfId="0" applyNumberFormat="1" applyFont="1" applyBorder="1"/>
    <xf numFmtId="0" fontId="11" fillId="3" borderId="2" xfId="0" applyFont="1" applyFill="1" applyBorder="1" applyAlignment="1">
      <alignment horizontal="center" vertical="center"/>
    </xf>
    <xf numFmtId="0" fontId="23" fillId="4" borderId="2" xfId="21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3" borderId="4" xfId="0" applyFont="1" applyFill="1" applyBorder="1" applyAlignment="1">
      <alignment horizontal="right" vertical="center"/>
    </xf>
    <xf numFmtId="0" fontId="12" fillId="0" borderId="0" xfId="21" applyFont="1" applyFill="1" applyBorder="1"/>
    <xf numFmtId="44" fontId="23" fillId="4" borderId="2" xfId="6" applyFont="1" applyFill="1" applyBorder="1" applyAlignment="1">
      <alignment vertical="center"/>
    </xf>
    <xf numFmtId="0" fontId="30" fillId="0" borderId="3" xfId="0" applyFont="1" applyBorder="1" applyAlignment="1">
      <alignment vertical="center" wrapText="1"/>
    </xf>
    <xf numFmtId="0" fontId="3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44" fontId="1" fillId="0" borderId="2" xfId="6" applyFont="1" applyBorder="1" applyAlignment="1">
      <alignment vertical="center"/>
    </xf>
    <xf numFmtId="44" fontId="1" fillId="0" borderId="4" xfId="6" applyFont="1" applyBorder="1" applyAlignment="1">
      <alignment vertical="center"/>
    </xf>
    <xf numFmtId="0" fontId="30" fillId="0" borderId="3" xfId="0" applyFont="1" applyBorder="1" applyAlignment="1">
      <alignment vertical="center"/>
    </xf>
    <xf numFmtId="0" fontId="30" fillId="4" borderId="2" xfId="0" applyFont="1" applyFill="1" applyBorder="1" applyAlignment="1">
      <alignment vertical="center" wrapText="1"/>
    </xf>
    <xf numFmtId="0" fontId="30" fillId="0" borderId="3" xfId="0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4" fontId="0" fillId="0" borderId="2" xfId="0" applyNumberFormat="1" applyFont="1" applyBorder="1" applyAlignment="1">
      <alignment horizontal="center" vertical="center" wrapText="1"/>
    </xf>
    <xf numFmtId="44" fontId="1" fillId="0" borderId="4" xfId="6" applyFont="1" applyBorder="1" applyAlignment="1">
      <alignment horizontal="center" vertical="center" wrapText="1"/>
    </xf>
    <xf numFmtId="1" fontId="12" fillId="4" borderId="2" xfId="0" applyNumberFormat="1" applyFont="1" applyFill="1" applyBorder="1" applyAlignment="1">
      <alignment horizontal="center" vertical="center" wrapText="1"/>
    </xf>
    <xf numFmtId="1" fontId="12" fillId="4" borderId="28" xfId="0" applyNumberFormat="1" applyFont="1" applyFill="1" applyBorder="1" applyAlignment="1">
      <alignment horizontal="center" vertical="center" wrapText="1"/>
    </xf>
    <xf numFmtId="0" fontId="1" fillId="0" borderId="28" xfId="0" applyFont="1" applyBorder="1" applyAlignment="1">
      <alignment vertical="center" wrapText="1"/>
    </xf>
    <xf numFmtId="0" fontId="30" fillId="0" borderId="3" xfId="0" applyFont="1" applyBorder="1" applyAlignment="1">
      <alignment horizontal="left" vertical="center"/>
    </xf>
    <xf numFmtId="0" fontId="18" fillId="3" borderId="5" xfId="0" applyFont="1" applyFill="1" applyBorder="1" applyAlignment="1">
      <alignment horizontal="center" vertical="center"/>
    </xf>
    <xf numFmtId="0" fontId="26" fillId="6" borderId="2" xfId="0" applyFont="1" applyFill="1" applyBorder="1" applyAlignment="1">
      <alignment horizontal="left" vertical="center" wrapText="1"/>
    </xf>
    <xf numFmtId="0" fontId="18" fillId="3" borderId="34" xfId="0" applyFont="1" applyFill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28" fillId="4" borderId="0" xfId="0" applyFont="1" applyFill="1" applyAlignment="1">
      <alignment horizontal="center"/>
    </xf>
    <xf numFmtId="0" fontId="23" fillId="0" borderId="2" xfId="21" applyFont="1" applyFill="1" applyBorder="1" applyAlignment="1">
      <alignment horizontal="left" vertical="center" wrapText="1"/>
    </xf>
    <xf numFmtId="0" fontId="22" fillId="0" borderId="3" xfId="21" applyFont="1" applyFill="1" applyBorder="1" applyAlignment="1">
      <alignment horizontal="center" vertical="center" wrapText="1"/>
    </xf>
    <xf numFmtId="0" fontId="22" fillId="0" borderId="2" xfId="21" applyFont="1" applyFill="1" applyBorder="1" applyAlignment="1">
      <alignment horizontal="center" vertical="center" wrapText="1"/>
    </xf>
    <xf numFmtId="0" fontId="22" fillId="0" borderId="11" xfId="21" applyFont="1" applyFill="1" applyBorder="1" applyAlignment="1">
      <alignment horizontal="center" vertical="center" wrapText="1"/>
    </xf>
    <xf numFmtId="0" fontId="22" fillId="0" borderId="5" xfId="21" applyFont="1" applyFill="1" applyBorder="1" applyAlignment="1">
      <alignment horizontal="center" vertical="center" wrapText="1"/>
    </xf>
    <xf numFmtId="0" fontId="23" fillId="0" borderId="13" xfId="21" applyFont="1" applyFill="1" applyBorder="1" applyAlignment="1">
      <alignment horizontal="center"/>
    </xf>
    <xf numFmtId="0" fontId="22" fillId="3" borderId="6" xfId="21" applyFont="1" applyFill="1" applyBorder="1" applyAlignment="1">
      <alignment horizontal="center" vertical="center" wrapText="1"/>
    </xf>
    <xf numFmtId="0" fontId="22" fillId="3" borderId="7" xfId="21" applyFont="1" applyFill="1" applyBorder="1" applyAlignment="1">
      <alignment horizontal="center" vertical="center" wrapText="1"/>
    </xf>
    <xf numFmtId="0" fontId="22" fillId="3" borderId="8" xfId="21" applyFont="1" applyFill="1" applyBorder="1" applyAlignment="1">
      <alignment horizontal="center" vertical="center" wrapText="1"/>
    </xf>
    <xf numFmtId="0" fontId="22" fillId="0" borderId="13" xfId="21" applyFont="1" applyFill="1" applyBorder="1" applyAlignment="1">
      <alignment horizontal="center" vertical="center" wrapText="1"/>
    </xf>
    <xf numFmtId="0" fontId="23" fillId="0" borderId="23" xfId="21" applyFont="1" applyFill="1" applyBorder="1" applyAlignment="1">
      <alignment horizontal="center" vertical="center" wrapText="1"/>
    </xf>
    <xf numFmtId="0" fontId="23" fillId="0" borderId="13" xfId="21" applyFont="1" applyFill="1" applyBorder="1" applyAlignment="1">
      <alignment horizontal="center" vertical="center" wrapText="1"/>
    </xf>
    <xf numFmtId="0" fontId="23" fillId="0" borderId="15" xfId="21" applyFont="1" applyFill="1" applyBorder="1" applyAlignment="1">
      <alignment horizontal="center"/>
    </xf>
    <xf numFmtId="0" fontId="22" fillId="0" borderId="3" xfId="13" applyFont="1" applyFill="1" applyBorder="1" applyAlignment="1">
      <alignment horizontal="center" vertical="center" wrapText="1"/>
    </xf>
    <xf numFmtId="0" fontId="22" fillId="0" borderId="2" xfId="13" applyFont="1" applyFill="1" applyBorder="1" applyAlignment="1">
      <alignment horizontal="center" vertical="center" wrapText="1"/>
    </xf>
    <xf numFmtId="0" fontId="23" fillId="0" borderId="2" xfId="13" applyFont="1" applyFill="1" applyBorder="1" applyAlignment="1">
      <alignment horizontal="left" vertical="center" wrapText="1"/>
    </xf>
    <xf numFmtId="0" fontId="23" fillId="0" borderId="3" xfId="21" applyFont="1" applyFill="1" applyBorder="1" applyAlignment="1">
      <alignment horizontal="center" vertical="center" wrapText="1"/>
    </xf>
    <xf numFmtId="0" fontId="23" fillId="0" borderId="2" xfId="21" applyFont="1" applyFill="1" applyBorder="1" applyAlignment="1">
      <alignment horizontal="center" vertical="center" wrapText="1"/>
    </xf>
    <xf numFmtId="0" fontId="23" fillId="0" borderId="4" xfId="21" applyFont="1" applyFill="1" applyBorder="1" applyAlignment="1">
      <alignment horizontal="center" vertical="center" wrapText="1"/>
    </xf>
    <xf numFmtId="0" fontId="22" fillId="3" borderId="3" xfId="21" applyFont="1" applyFill="1" applyBorder="1" applyAlignment="1">
      <alignment horizontal="center" vertical="center" wrapText="1"/>
    </xf>
    <xf numFmtId="0" fontId="22" fillId="3" borderId="2" xfId="21" applyFont="1" applyFill="1" applyBorder="1" applyAlignment="1">
      <alignment horizontal="center" vertical="center" wrapText="1"/>
    </xf>
    <xf numFmtId="0" fontId="22" fillId="3" borderId="4" xfId="21" applyFont="1" applyFill="1" applyBorder="1" applyAlignment="1">
      <alignment horizontal="center" vertical="center" wrapText="1"/>
    </xf>
    <xf numFmtId="0" fontId="22" fillId="0" borderId="4" xfId="21" applyFont="1" applyFill="1" applyBorder="1" applyAlignment="1">
      <alignment horizontal="center" vertical="center" wrapText="1"/>
    </xf>
    <xf numFmtId="44" fontId="23" fillId="0" borderId="2" xfId="21" applyNumberFormat="1" applyFont="1" applyFill="1" applyBorder="1" applyAlignment="1">
      <alignment horizontal="left" vertical="center" wrapText="1"/>
    </xf>
    <xf numFmtId="44" fontId="22" fillId="0" borderId="11" xfId="21" applyNumberFormat="1" applyFont="1" applyFill="1" applyBorder="1" applyAlignment="1">
      <alignment horizontal="center" vertical="center" wrapText="1"/>
    </xf>
    <xf numFmtId="44" fontId="22" fillId="0" borderId="5" xfId="21" applyNumberFormat="1" applyFont="1" applyFill="1" applyBorder="1" applyAlignment="1">
      <alignment horizontal="center" vertical="center" wrapText="1"/>
    </xf>
    <xf numFmtId="44" fontId="22" fillId="0" borderId="18" xfId="21" applyNumberFormat="1" applyFont="1" applyFill="1" applyBorder="1" applyAlignment="1">
      <alignment horizontal="center" vertical="center" wrapText="1"/>
    </xf>
    <xf numFmtId="44" fontId="22" fillId="0" borderId="9" xfId="21" applyNumberFormat="1" applyFont="1" applyFill="1" applyBorder="1" applyAlignment="1">
      <alignment horizontal="center" vertical="center" wrapText="1"/>
    </xf>
    <xf numFmtId="44" fontId="22" fillId="0" borderId="20" xfId="21" applyNumberFormat="1" applyFont="1" applyFill="1" applyBorder="1" applyAlignment="1">
      <alignment horizontal="center" vertical="center" wrapText="1"/>
    </xf>
    <xf numFmtId="44" fontId="22" fillId="0" borderId="21" xfId="21" applyNumberFormat="1" applyFont="1" applyFill="1" applyBorder="1" applyAlignment="1">
      <alignment horizontal="center" vertical="center" wrapText="1"/>
    </xf>
    <xf numFmtId="44" fontId="22" fillId="0" borderId="22" xfId="21" applyNumberFormat="1" applyFont="1" applyFill="1" applyBorder="1" applyAlignment="1">
      <alignment horizontal="center" vertical="center" wrapText="1"/>
    </xf>
    <xf numFmtId="44" fontId="22" fillId="0" borderId="6" xfId="21" applyNumberFormat="1" applyFont="1" applyFill="1" applyBorder="1" applyAlignment="1">
      <alignment horizontal="center" vertical="center" wrapText="1"/>
    </xf>
    <xf numFmtId="44" fontId="22" fillId="0" borderId="7" xfId="21" applyNumberFormat="1" applyFont="1" applyFill="1" applyBorder="1" applyAlignment="1">
      <alignment horizontal="center" vertical="center" wrapText="1"/>
    </xf>
    <xf numFmtId="44" fontId="22" fillId="0" borderId="8" xfId="21" applyNumberFormat="1" applyFont="1" applyFill="1" applyBorder="1" applyAlignment="1">
      <alignment horizontal="center" vertical="center" wrapText="1"/>
    </xf>
    <xf numFmtId="44" fontId="22" fillId="0" borderId="3" xfId="21" applyNumberFormat="1" applyFont="1" applyFill="1" applyBorder="1" applyAlignment="1">
      <alignment horizontal="center" vertical="center" wrapText="1"/>
    </xf>
    <xf numFmtId="44" fontId="22" fillId="0" borderId="2" xfId="21" applyNumberFormat="1" applyFont="1" applyFill="1" applyBorder="1" applyAlignment="1">
      <alignment horizontal="center" vertical="center" wrapText="1"/>
    </xf>
    <xf numFmtId="0" fontId="23" fillId="4" borderId="2" xfId="21" applyFont="1" applyFill="1" applyBorder="1" applyAlignment="1">
      <alignment horizontal="left" vertical="center" wrapText="1"/>
    </xf>
    <xf numFmtId="0" fontId="23" fillId="0" borderId="28" xfId="21" applyFont="1" applyFill="1" applyBorder="1" applyAlignment="1">
      <alignment horizontal="left" vertical="center" wrapText="1"/>
    </xf>
    <xf numFmtId="0" fontId="23" fillId="0" borderId="25" xfId="21" applyFont="1" applyFill="1" applyBorder="1" applyAlignment="1">
      <alignment horizontal="left" vertical="center" wrapText="1"/>
    </xf>
    <xf numFmtId="0" fontId="23" fillId="0" borderId="34" xfId="21" applyFont="1" applyFill="1" applyBorder="1" applyAlignment="1">
      <alignment horizontal="left" vertical="center" wrapText="1"/>
    </xf>
    <xf numFmtId="0" fontId="22" fillId="5" borderId="3" xfId="21" applyFont="1" applyFill="1" applyBorder="1" applyAlignment="1">
      <alignment horizontal="center" vertical="center" wrapText="1"/>
    </xf>
    <xf numFmtId="0" fontId="22" fillId="5" borderId="2" xfId="21" applyFont="1" applyFill="1" applyBorder="1" applyAlignment="1">
      <alignment horizontal="center" vertical="center" wrapText="1"/>
    </xf>
    <xf numFmtId="0" fontId="22" fillId="5" borderId="4" xfId="21" applyFont="1" applyFill="1" applyBorder="1" applyAlignment="1">
      <alignment horizontal="center" vertical="center" wrapText="1"/>
    </xf>
    <xf numFmtId="1" fontId="22" fillId="0" borderId="3" xfId="21" applyNumberFormat="1" applyFont="1" applyFill="1" applyBorder="1" applyAlignment="1">
      <alignment horizontal="center" vertical="center" wrapText="1"/>
    </xf>
    <xf numFmtId="1" fontId="22" fillId="0" borderId="2" xfId="21" applyNumberFormat="1" applyFont="1" applyFill="1" applyBorder="1" applyAlignment="1">
      <alignment horizontal="center" vertical="center" wrapText="1"/>
    </xf>
    <xf numFmtId="0" fontId="23" fillId="0" borderId="7" xfId="21" applyFont="1" applyFill="1" applyBorder="1" applyAlignment="1">
      <alignment horizontal="left" vertical="center" wrapText="1"/>
    </xf>
    <xf numFmtId="0" fontId="23" fillId="0" borderId="5" xfId="21" applyFont="1" applyFill="1" applyBorder="1" applyAlignment="1">
      <alignment horizontal="left" vertical="center" wrapText="1"/>
    </xf>
    <xf numFmtId="0" fontId="12" fillId="0" borderId="16" xfId="21" applyFont="1" applyBorder="1" applyAlignment="1">
      <alignment horizontal="center"/>
    </xf>
    <xf numFmtId="0" fontId="13" fillId="3" borderId="12" xfId="21" applyFont="1" applyFill="1" applyBorder="1" applyAlignment="1">
      <alignment horizontal="left"/>
    </xf>
    <xf numFmtId="0" fontId="13" fillId="3" borderId="13" xfId="21" applyFont="1" applyFill="1" applyBorder="1" applyAlignment="1">
      <alignment horizontal="left"/>
    </xf>
    <xf numFmtId="0" fontId="13" fillId="3" borderId="13" xfId="21" applyFont="1" applyFill="1" applyBorder="1" applyAlignment="1">
      <alignment horizontal="center"/>
    </xf>
    <xf numFmtId="0" fontId="13" fillId="3" borderId="13" xfId="21" applyFont="1" applyFill="1" applyBorder="1" applyAlignment="1">
      <alignment horizontal="right"/>
    </xf>
    <xf numFmtId="0" fontId="13" fillId="3" borderId="17" xfId="21" applyFont="1" applyFill="1" applyBorder="1" applyAlignment="1">
      <alignment horizontal="center"/>
    </xf>
    <xf numFmtId="0" fontId="23" fillId="0" borderId="14" xfId="21" applyFont="1" applyFill="1" applyBorder="1" applyAlignment="1">
      <alignment horizontal="center" vertical="center" wrapText="1"/>
    </xf>
    <xf numFmtId="0" fontId="23" fillId="0" borderId="0" xfId="21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11" xfId="0" applyFont="1" applyFill="1" applyBorder="1" applyAlignment="1">
      <alignment horizontal="center"/>
    </xf>
    <xf numFmtId="0" fontId="17" fillId="3" borderId="5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/>
    </xf>
    <xf numFmtId="0" fontId="21" fillId="3" borderId="4" xfId="0" applyFont="1" applyFill="1" applyBorder="1" applyAlignment="1">
      <alignment horizontal="center"/>
    </xf>
    <xf numFmtId="0" fontId="21" fillId="3" borderId="29" xfId="0" applyFont="1" applyFill="1" applyBorder="1" applyAlignment="1">
      <alignment horizontal="center"/>
    </xf>
    <xf numFmtId="0" fontId="21" fillId="3" borderId="30" xfId="0" applyFont="1" applyFill="1" applyBorder="1" applyAlignment="1">
      <alignment horizontal="center"/>
    </xf>
    <xf numFmtId="0" fontId="21" fillId="3" borderId="3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horizontal="center" vertical="center"/>
    </xf>
    <xf numFmtId="0" fontId="21" fillId="2" borderId="31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/>
    </xf>
    <xf numFmtId="0" fontId="21" fillId="3" borderId="25" xfId="0" applyFont="1" applyFill="1" applyBorder="1" applyAlignment="1">
      <alignment horizontal="center"/>
    </xf>
    <xf numFmtId="0" fontId="21" fillId="3" borderId="26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1" fillId="2" borderId="8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0" fillId="2" borderId="36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3" borderId="37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</cellXfs>
  <cellStyles count="32">
    <cellStyle name="Excel Built-in Normal" xfId="1" xr:uid="{00000000-0005-0000-0000-000002000000}"/>
    <cellStyle name="Excel_BuiltIn_Currency 1" xfId="2" xr:uid="{00000000-0005-0000-0000-000003000000}"/>
    <cellStyle name="Excel_BuiltIn_Percent 1" xfId="3" xr:uid="{00000000-0005-0000-0000-000004000000}"/>
    <cellStyle name="Heading" xfId="4" xr:uid="{00000000-0005-0000-0000-000005000000}"/>
    <cellStyle name="Heading1" xfId="5" xr:uid="{00000000-0005-0000-0000-000006000000}"/>
    <cellStyle name="Moeda" xfId="6" builtinId="4"/>
    <cellStyle name="Moeda 2" xfId="7" xr:uid="{00000000-0005-0000-0000-000007000000}"/>
    <cellStyle name="Moeda 3" xfId="8" xr:uid="{00000000-0005-0000-0000-000008000000}"/>
    <cellStyle name="Moeda 4" xfId="9" xr:uid="{00000000-0005-0000-0000-000009000000}"/>
    <cellStyle name="Moeda 5" xfId="10" xr:uid="{00000000-0005-0000-0000-00000A000000}"/>
    <cellStyle name="Moeda 6" xfId="11" xr:uid="{00000000-0005-0000-0000-00000B000000}"/>
    <cellStyle name="Moeda 7" xfId="12" xr:uid="{00000000-0005-0000-0000-00000C000000}"/>
    <cellStyle name="Normal" xfId="0" builtinId="0"/>
    <cellStyle name="Normal 2" xfId="13" xr:uid="{00000000-0005-0000-0000-00000E000000}"/>
    <cellStyle name="Normal 2 2" xfId="14" xr:uid="{00000000-0005-0000-0000-00000F000000}"/>
    <cellStyle name="Normal 2 3" xfId="15" xr:uid="{00000000-0005-0000-0000-000010000000}"/>
    <cellStyle name="Normal 3" xfId="16" xr:uid="{00000000-0005-0000-0000-000011000000}"/>
    <cellStyle name="Normal 4" xfId="17" xr:uid="{00000000-0005-0000-0000-000012000000}"/>
    <cellStyle name="Normal 5" xfId="18" xr:uid="{00000000-0005-0000-0000-000013000000}"/>
    <cellStyle name="Normal 6" xfId="19" xr:uid="{00000000-0005-0000-0000-000014000000}"/>
    <cellStyle name="Normal 7" xfId="20" xr:uid="{00000000-0005-0000-0000-000015000000}"/>
    <cellStyle name="Normal 8" xfId="21" xr:uid="{00000000-0005-0000-0000-000016000000}"/>
    <cellStyle name="Porcentagem 2" xfId="22" xr:uid="{00000000-0005-0000-0000-000017000000}"/>
    <cellStyle name="Porcentagem 7" xfId="23" xr:uid="{00000000-0005-0000-0000-000018000000}"/>
    <cellStyle name="Result" xfId="24" xr:uid="{00000000-0005-0000-0000-000019000000}"/>
    <cellStyle name="Result2" xfId="25" xr:uid="{00000000-0005-0000-0000-00001A000000}"/>
    <cellStyle name="Separador de milhares 2" xfId="26" xr:uid="{00000000-0005-0000-0000-00001B000000}"/>
    <cellStyle name="Separador de milhares 3" xfId="27" xr:uid="{00000000-0005-0000-0000-00001C000000}"/>
    <cellStyle name="Separador de milhares 4" xfId="28" xr:uid="{00000000-0005-0000-0000-00001D000000}"/>
    <cellStyle name="Separador de milhares 5" xfId="29" xr:uid="{00000000-0005-0000-0000-00001E000000}"/>
    <cellStyle name="Título 1 1" xfId="30" xr:uid="{00000000-0005-0000-0000-00001F000000}"/>
    <cellStyle name="Vírgula" xfId="3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386290</xdr:colOff>
      <xdr:row>1</xdr:row>
      <xdr:rowOff>186531</xdr:rowOff>
    </xdr:from>
    <xdr:to>
      <xdr:col>11</xdr:col>
      <xdr:colOff>1306775</xdr:colOff>
      <xdr:row>2</xdr:row>
      <xdr:rowOff>188119</xdr:rowOff>
    </xdr:to>
    <xdr:pic>
      <xdr:nvPicPr>
        <xdr:cNvPr id="2" name="Imagem 1" descr="Logo HUUFMA">
          <a:extLst>
            <a:ext uri="{FF2B5EF4-FFF2-40B4-BE49-F238E27FC236}">
              <a16:creationId xmlns:a16="http://schemas.microsoft.com/office/drawing/2014/main" id="{211B2199-9B04-468B-8755-E50F61D84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6873" y="186531"/>
          <a:ext cx="2624402" cy="668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1173957</xdr:colOff>
      <xdr:row>1</xdr:row>
      <xdr:rowOff>158184</xdr:rowOff>
    </xdr:from>
    <xdr:to>
      <xdr:col>4</xdr:col>
      <xdr:colOff>728057</xdr:colOff>
      <xdr:row>3</xdr:row>
      <xdr:rowOff>4423</xdr:rowOff>
    </xdr:to>
    <xdr:pic>
      <xdr:nvPicPr>
        <xdr:cNvPr id="2" name="Imagem 1" descr="Logo HUUFMA">
          <a:extLst>
            <a:ext uri="{FF2B5EF4-FFF2-40B4-BE49-F238E27FC236}">
              <a16:creationId xmlns:a16="http://schemas.microsoft.com/office/drawing/2014/main" id="{17A16F3A-E357-40BB-B1AB-E262EE69C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9113" y="348684"/>
          <a:ext cx="2614007" cy="6796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583406</xdr:colOff>
      <xdr:row>1</xdr:row>
      <xdr:rowOff>142875</xdr:rowOff>
    </xdr:from>
    <xdr:to>
      <xdr:col>8</xdr:col>
      <xdr:colOff>309296</xdr:colOff>
      <xdr:row>5</xdr:row>
      <xdr:rowOff>57150</xdr:rowOff>
    </xdr:to>
    <xdr:pic>
      <xdr:nvPicPr>
        <xdr:cNvPr id="2" name="Imagem 1" descr="Logo HUUFMA">
          <a:extLst>
            <a:ext uri="{FF2B5EF4-FFF2-40B4-BE49-F238E27FC236}">
              <a16:creationId xmlns:a16="http://schemas.microsoft.com/office/drawing/2014/main" id="{5B1591CD-62F8-4333-A2E0-C868DD2E50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2625" y="333375"/>
          <a:ext cx="261911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8D33C-BB75-42F2-AAC6-A3F0BCC6EF93}">
  <dimension ref="A2:X133"/>
  <sheetViews>
    <sheetView showGridLines="0" view="pageBreakPreview" zoomScale="90" zoomScaleNormal="90" zoomScaleSheetLayoutView="90" workbookViewId="0">
      <selection activeCell="C117" sqref="C117:P117"/>
    </sheetView>
  </sheetViews>
  <sheetFormatPr defaultColWidth="12" defaultRowHeight="15"/>
  <cols>
    <col min="1" max="1" width="6.140625" style="1" customWidth="1"/>
    <col min="2" max="2" width="4.28515625" style="1" customWidth="1"/>
    <col min="3" max="3" width="6.28515625" style="1" customWidth="1"/>
    <col min="4" max="4" width="19.5703125" style="1" customWidth="1"/>
    <col min="5" max="5" width="13.5703125" style="1" customWidth="1"/>
    <col min="6" max="6" width="5.7109375" style="1" customWidth="1"/>
    <col min="7" max="7" width="10" style="1" customWidth="1"/>
    <col min="8" max="8" width="17.5703125" style="1" customWidth="1"/>
    <col min="9" max="9" width="19" style="1" customWidth="1"/>
    <col min="10" max="10" width="12" style="1" bestFit="1" customWidth="1"/>
    <col min="11" max="15" width="25.5703125" style="1" bestFit="1" customWidth="1"/>
    <col min="16" max="16" width="22.42578125" style="1" bestFit="1" customWidth="1"/>
    <col min="17" max="17" width="2.85546875" style="1" customWidth="1"/>
    <col min="18" max="16384" width="12" style="1"/>
  </cols>
  <sheetData>
    <row r="2" spans="1:24" ht="52.5" customHeight="1"/>
    <row r="4" spans="1:24" ht="18.75" customHeight="1">
      <c r="C4" s="123" t="s">
        <v>139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68"/>
      <c r="R4" s="68"/>
      <c r="S4" s="68"/>
      <c r="T4" s="68"/>
      <c r="U4" s="68"/>
      <c r="V4" s="68"/>
      <c r="W4" s="68"/>
      <c r="X4" s="68"/>
    </row>
    <row r="5" spans="1:24" ht="18.75">
      <c r="A5" s="68"/>
      <c r="B5" s="68"/>
      <c r="C5" s="123" t="s">
        <v>140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68"/>
      <c r="R5" s="68"/>
      <c r="S5" s="68"/>
      <c r="T5" s="68"/>
      <c r="U5" s="68"/>
      <c r="V5" s="68"/>
      <c r="W5" s="68"/>
      <c r="X5" s="68"/>
    </row>
    <row r="6" spans="1:24" ht="21" customHeight="1">
      <c r="A6" s="68"/>
      <c r="B6" s="68"/>
      <c r="C6" s="123" t="s">
        <v>141</v>
      </c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68"/>
      <c r="R6" s="68"/>
      <c r="S6" s="68"/>
      <c r="T6" s="68"/>
      <c r="U6" s="68"/>
      <c r="V6" s="68"/>
      <c r="W6" s="68"/>
      <c r="X6" s="68"/>
    </row>
    <row r="7" spans="1:24" ht="18.75">
      <c r="A7" s="68"/>
      <c r="B7" s="68"/>
      <c r="C7" s="123" t="s">
        <v>142</v>
      </c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68"/>
      <c r="R7" s="68"/>
      <c r="S7" s="68"/>
      <c r="T7" s="68"/>
      <c r="U7" s="68"/>
      <c r="V7" s="68"/>
      <c r="W7" s="68"/>
      <c r="X7" s="68"/>
    </row>
    <row r="8" spans="1:24" ht="18.75">
      <c r="A8" s="68"/>
      <c r="B8" s="68"/>
      <c r="C8" s="123" t="s">
        <v>143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68"/>
      <c r="R8" s="68"/>
      <c r="S8" s="68"/>
      <c r="T8" s="68"/>
      <c r="U8" s="68"/>
      <c r="V8" s="68"/>
      <c r="W8" s="68"/>
      <c r="X8" s="68"/>
    </row>
    <row r="9" spans="1:24" ht="15.75" thickBot="1"/>
    <row r="10" spans="1:24" ht="29.25" customHeight="1" thickTop="1" thickBot="1">
      <c r="C10" s="120" t="s">
        <v>0</v>
      </c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2"/>
    </row>
    <row r="11" spans="1:24" ht="16.5" thickTop="1" thickBot="1"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</row>
    <row r="12" spans="1:24" ht="24.95" customHeight="1" thickTop="1" thickBot="1">
      <c r="C12" s="172" t="s">
        <v>1</v>
      </c>
      <c r="D12" s="173"/>
      <c r="E12" s="174"/>
      <c r="F12" s="174"/>
      <c r="G12" s="174"/>
      <c r="H12" s="175" t="s">
        <v>2</v>
      </c>
      <c r="I12" s="175"/>
      <c r="J12" s="174"/>
      <c r="K12" s="174"/>
      <c r="L12" s="174"/>
      <c r="M12" s="174"/>
      <c r="N12" s="174"/>
      <c r="O12" s="174"/>
      <c r="P12" s="176"/>
    </row>
    <row r="13" spans="1:24" ht="15.75" customHeight="1" thickTop="1" thickBot="1">
      <c r="A13" s="9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24" ht="15.75" customHeight="1" thickTop="1">
      <c r="A14" s="96"/>
      <c r="B14" s="2"/>
      <c r="C14" s="16">
        <v>1</v>
      </c>
      <c r="D14" s="169" t="s">
        <v>3</v>
      </c>
      <c r="E14" s="169"/>
      <c r="F14" s="169"/>
      <c r="G14" s="169"/>
      <c r="H14" s="169"/>
      <c r="I14" s="169"/>
      <c r="J14" s="169"/>
      <c r="K14" s="17" t="s">
        <v>4</v>
      </c>
      <c r="L14" s="17" t="s">
        <v>4</v>
      </c>
      <c r="M14" s="17" t="s">
        <v>4</v>
      </c>
      <c r="N14" s="18" t="s">
        <v>4</v>
      </c>
      <c r="O14" s="18" t="s">
        <v>4</v>
      </c>
      <c r="P14" s="19" t="s">
        <v>4</v>
      </c>
    </row>
    <row r="15" spans="1:24" ht="15.75" customHeight="1">
      <c r="A15" s="96"/>
      <c r="B15" s="2"/>
      <c r="C15" s="24">
        <v>2</v>
      </c>
      <c r="D15" s="124" t="s">
        <v>5</v>
      </c>
      <c r="E15" s="124"/>
      <c r="F15" s="124"/>
      <c r="G15" s="124"/>
      <c r="H15" s="124"/>
      <c r="I15" s="124"/>
      <c r="J15" s="124"/>
      <c r="K15" s="21" t="s">
        <v>6</v>
      </c>
      <c r="L15" s="21" t="s">
        <v>7</v>
      </c>
      <c r="M15" s="21" t="s">
        <v>6</v>
      </c>
      <c r="N15" s="21" t="s">
        <v>7</v>
      </c>
      <c r="O15" s="21" t="s">
        <v>8</v>
      </c>
      <c r="P15" s="22" t="s">
        <v>7</v>
      </c>
    </row>
    <row r="16" spans="1:24" ht="15.75">
      <c r="A16" s="96"/>
      <c r="B16" s="2"/>
      <c r="C16" s="24">
        <v>3</v>
      </c>
      <c r="D16" s="124" t="s">
        <v>9</v>
      </c>
      <c r="E16" s="124"/>
      <c r="F16" s="124"/>
      <c r="G16" s="124"/>
      <c r="H16" s="124"/>
      <c r="I16" s="124"/>
      <c r="J16" s="124"/>
      <c r="K16" s="23">
        <v>1679.43</v>
      </c>
      <c r="L16" s="23">
        <v>1679.43</v>
      </c>
      <c r="M16" s="23">
        <v>1153.47</v>
      </c>
      <c r="N16" s="23">
        <v>1153.47</v>
      </c>
      <c r="O16" s="23">
        <v>1153.47</v>
      </c>
      <c r="P16" s="75">
        <v>2683.63</v>
      </c>
    </row>
    <row r="17" spans="1:16" ht="27.75" customHeight="1">
      <c r="A17" s="96"/>
      <c r="B17" s="2"/>
      <c r="C17" s="24">
        <v>4</v>
      </c>
      <c r="D17" s="124" t="s">
        <v>10</v>
      </c>
      <c r="E17" s="124"/>
      <c r="F17" s="124"/>
      <c r="G17" s="124"/>
      <c r="H17" s="124"/>
      <c r="I17" s="124"/>
      <c r="J17" s="124"/>
      <c r="K17" s="73" t="s">
        <v>166</v>
      </c>
      <c r="L17" s="73" t="s">
        <v>166</v>
      </c>
      <c r="M17" s="73" t="s">
        <v>144</v>
      </c>
      <c r="N17" s="73" t="s">
        <v>144</v>
      </c>
      <c r="O17" s="73" t="s">
        <v>144</v>
      </c>
      <c r="P17" s="78" t="s">
        <v>166</v>
      </c>
    </row>
    <row r="18" spans="1:16" ht="31.5">
      <c r="A18" s="96"/>
      <c r="B18" s="2"/>
      <c r="C18" s="24">
        <v>5</v>
      </c>
      <c r="D18" s="124" t="s">
        <v>170</v>
      </c>
      <c r="E18" s="124"/>
      <c r="F18" s="124"/>
      <c r="G18" s="124"/>
      <c r="H18" s="124"/>
      <c r="I18" s="124"/>
      <c r="J18" s="124"/>
      <c r="K18" s="76" t="s">
        <v>11</v>
      </c>
      <c r="L18" s="76" t="s">
        <v>11</v>
      </c>
      <c r="M18" s="76" t="s">
        <v>133</v>
      </c>
      <c r="N18" s="76" t="s">
        <v>133</v>
      </c>
      <c r="O18" s="76" t="s">
        <v>133</v>
      </c>
      <c r="P18" s="77" t="s">
        <v>167</v>
      </c>
    </row>
    <row r="19" spans="1:16" ht="15.75" customHeight="1" thickBot="1">
      <c r="A19" s="96"/>
      <c r="B19" s="2"/>
      <c r="C19" s="32">
        <v>6</v>
      </c>
      <c r="D19" s="170" t="s">
        <v>171</v>
      </c>
      <c r="E19" s="170"/>
      <c r="F19" s="170"/>
      <c r="G19" s="170"/>
      <c r="H19" s="170"/>
      <c r="I19" s="170"/>
      <c r="J19" s="170"/>
      <c r="K19" s="74" t="s">
        <v>165</v>
      </c>
      <c r="L19" s="74" t="s">
        <v>165</v>
      </c>
      <c r="M19" s="74" t="s">
        <v>145</v>
      </c>
      <c r="N19" s="74" t="s">
        <v>145</v>
      </c>
      <c r="O19" s="74" t="s">
        <v>145</v>
      </c>
      <c r="P19" s="79" t="s">
        <v>165</v>
      </c>
    </row>
    <row r="20" spans="1:16" ht="15.75" customHeight="1" thickTop="1" thickBot="1">
      <c r="A20" s="96"/>
      <c r="B20" s="2"/>
      <c r="C20" s="177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</row>
    <row r="21" spans="1:16" ht="15.75" customHeight="1" thickTop="1">
      <c r="A21" s="96"/>
      <c r="B21" s="2"/>
      <c r="C21" s="130" t="s">
        <v>134</v>
      </c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2"/>
    </row>
    <row r="22" spans="1:16" ht="24.95" customHeight="1">
      <c r="A22" s="96"/>
      <c r="B22" s="2"/>
      <c r="C22" s="125" t="s">
        <v>12</v>
      </c>
      <c r="D22" s="126"/>
      <c r="E22" s="126"/>
      <c r="F22" s="126"/>
      <c r="G22" s="126"/>
      <c r="H22" s="126"/>
      <c r="I22" s="126"/>
      <c r="J22" s="25" t="s">
        <v>13</v>
      </c>
      <c r="K22" s="25" t="s">
        <v>14</v>
      </c>
      <c r="L22" s="25" t="s">
        <v>14</v>
      </c>
      <c r="M22" s="25" t="s">
        <v>14</v>
      </c>
      <c r="N22" s="25" t="s">
        <v>14</v>
      </c>
      <c r="O22" s="25" t="s">
        <v>14</v>
      </c>
      <c r="P22" s="26" t="s">
        <v>14</v>
      </c>
    </row>
    <row r="23" spans="1:16" ht="15.75">
      <c r="A23" s="96"/>
      <c r="B23" s="2"/>
      <c r="C23" s="20" t="s">
        <v>15</v>
      </c>
      <c r="D23" s="124" t="s">
        <v>16</v>
      </c>
      <c r="E23" s="124"/>
      <c r="F23" s="124"/>
      <c r="G23" s="124"/>
      <c r="H23" s="124"/>
      <c r="I23" s="124"/>
      <c r="J23" s="27"/>
      <c r="K23" s="28">
        <f t="shared" ref="K23:P23" si="0">K16</f>
        <v>1679.43</v>
      </c>
      <c r="L23" s="28">
        <f t="shared" si="0"/>
        <v>1679.43</v>
      </c>
      <c r="M23" s="28">
        <f t="shared" si="0"/>
        <v>1153.47</v>
      </c>
      <c r="N23" s="28">
        <f t="shared" si="0"/>
        <v>1153.47</v>
      </c>
      <c r="O23" s="28">
        <f t="shared" si="0"/>
        <v>1153.47</v>
      </c>
      <c r="P23" s="29">
        <f t="shared" si="0"/>
        <v>2683.63</v>
      </c>
    </row>
    <row r="24" spans="1:16" ht="15.75">
      <c r="A24" s="96"/>
      <c r="B24" s="2"/>
      <c r="C24" s="20" t="s">
        <v>17</v>
      </c>
      <c r="D24" s="161" t="s">
        <v>168</v>
      </c>
      <c r="E24" s="162"/>
      <c r="F24" s="162"/>
      <c r="G24" s="162"/>
      <c r="H24" s="162"/>
      <c r="I24" s="163"/>
      <c r="J24" s="27"/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1">
        <v>0</v>
      </c>
    </row>
    <row r="25" spans="1:16" ht="15" customHeight="1">
      <c r="A25" s="96"/>
      <c r="B25" s="2"/>
      <c r="C25" s="20" t="s">
        <v>18</v>
      </c>
      <c r="D25" s="161" t="s">
        <v>169</v>
      </c>
      <c r="E25" s="162"/>
      <c r="F25" s="162"/>
      <c r="G25" s="162"/>
      <c r="H25" s="162"/>
      <c r="I25" s="163"/>
      <c r="J25" s="27"/>
      <c r="K25" s="30">
        <v>0</v>
      </c>
      <c r="L25" s="30">
        <v>0</v>
      </c>
      <c r="M25" s="30">
        <v>0</v>
      </c>
      <c r="N25" s="30">
        <v>0</v>
      </c>
      <c r="O25" s="30">
        <f>TRUNC(((O23/220)*20%)*8*15,2)</f>
        <v>125.83</v>
      </c>
      <c r="P25" s="31">
        <v>0</v>
      </c>
    </row>
    <row r="26" spans="1:16" ht="15.75" customHeight="1">
      <c r="A26" s="96"/>
      <c r="B26" s="2"/>
      <c r="C26" s="20" t="s">
        <v>19</v>
      </c>
      <c r="D26" s="161" t="s">
        <v>21</v>
      </c>
      <c r="E26" s="162"/>
      <c r="F26" s="162"/>
      <c r="G26" s="162"/>
      <c r="H26" s="162"/>
      <c r="I26" s="163"/>
      <c r="J26" s="27"/>
      <c r="K26" s="30">
        <v>0</v>
      </c>
      <c r="L26" s="30">
        <v>0</v>
      </c>
      <c r="M26" s="30">
        <v>0</v>
      </c>
      <c r="N26" s="30">
        <v>0</v>
      </c>
      <c r="O26" s="30">
        <f>TRUNC((O23/220)*1*15,2)</f>
        <v>78.64</v>
      </c>
      <c r="P26" s="31">
        <v>0</v>
      </c>
    </row>
    <row r="27" spans="1:16" ht="15.75" customHeight="1">
      <c r="A27" s="96"/>
      <c r="B27" s="2"/>
      <c r="C27" s="20" t="s">
        <v>20</v>
      </c>
      <c r="D27" s="124" t="s">
        <v>23</v>
      </c>
      <c r="E27" s="124"/>
      <c r="F27" s="124"/>
      <c r="G27" s="124"/>
      <c r="H27" s="124"/>
      <c r="I27" s="124"/>
      <c r="J27" s="27"/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1">
        <v>0</v>
      </c>
    </row>
    <row r="28" spans="1:16" ht="16.5" thickBot="1">
      <c r="A28" s="96"/>
      <c r="B28" s="2"/>
      <c r="C28" s="127" t="s">
        <v>24</v>
      </c>
      <c r="D28" s="128"/>
      <c r="E28" s="128"/>
      <c r="F28" s="128"/>
      <c r="G28" s="128"/>
      <c r="H28" s="128"/>
      <c r="I28" s="128"/>
      <c r="J28" s="128"/>
      <c r="K28" s="33">
        <f t="shared" ref="K28:P28" si="1">SUM(K23:K27)</f>
        <v>1679.43</v>
      </c>
      <c r="L28" s="33">
        <f t="shared" si="1"/>
        <v>1679.43</v>
      </c>
      <c r="M28" s="33">
        <f t="shared" si="1"/>
        <v>1153.47</v>
      </c>
      <c r="N28" s="33">
        <f t="shared" si="1"/>
        <v>1153.47</v>
      </c>
      <c r="O28" s="33">
        <f t="shared" si="1"/>
        <v>1357.94</v>
      </c>
      <c r="P28" s="34">
        <f t="shared" si="1"/>
        <v>2683.63</v>
      </c>
    </row>
    <row r="29" spans="1:16" ht="15" customHeight="1" thickTop="1" thickBot="1">
      <c r="A29" s="96"/>
      <c r="B29" s="2"/>
      <c r="C29" s="134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</row>
    <row r="30" spans="1:16" ht="15" customHeight="1" thickTop="1">
      <c r="A30" s="96"/>
      <c r="B30" s="2"/>
      <c r="C30" s="130" t="s">
        <v>135</v>
      </c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2"/>
    </row>
    <row r="31" spans="1:16" ht="15.75">
      <c r="A31" s="96"/>
      <c r="B31" s="2"/>
      <c r="C31" s="125" t="s">
        <v>25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46"/>
    </row>
    <row r="32" spans="1:16" ht="15.75">
      <c r="A32" s="96"/>
      <c r="B32" s="2"/>
      <c r="C32" s="125" t="s">
        <v>26</v>
      </c>
      <c r="D32" s="126"/>
      <c r="E32" s="126"/>
      <c r="F32" s="126"/>
      <c r="G32" s="126"/>
      <c r="H32" s="126"/>
      <c r="I32" s="126"/>
      <c r="J32" s="25" t="s">
        <v>13</v>
      </c>
      <c r="K32" s="25" t="s">
        <v>14</v>
      </c>
      <c r="L32" s="25" t="s">
        <v>14</v>
      </c>
      <c r="M32" s="25" t="s">
        <v>14</v>
      </c>
      <c r="N32" s="25" t="s">
        <v>14</v>
      </c>
      <c r="O32" s="25" t="s">
        <v>14</v>
      </c>
      <c r="P32" s="26" t="s">
        <v>14</v>
      </c>
    </row>
    <row r="33" spans="1:22" ht="15.75">
      <c r="A33" s="96"/>
      <c r="B33" s="2"/>
      <c r="C33" s="20" t="s">
        <v>15</v>
      </c>
      <c r="D33" s="124" t="s">
        <v>27</v>
      </c>
      <c r="E33" s="124"/>
      <c r="F33" s="124"/>
      <c r="G33" s="124"/>
      <c r="H33" s="124"/>
      <c r="I33" s="124"/>
      <c r="J33" s="35">
        <f>1/12</f>
        <v>8.3333333333333329E-2</v>
      </c>
      <c r="K33" s="30">
        <f>TRUNC($J33*K28,2)</f>
        <v>139.94999999999999</v>
      </c>
      <c r="L33" s="30">
        <f>TRUNC($J33*L28,2)</f>
        <v>139.94999999999999</v>
      </c>
      <c r="M33" s="30">
        <f>TRUNC($J33*M28,2)</f>
        <v>96.12</v>
      </c>
      <c r="N33" s="30">
        <f t="shared" ref="N33:P33" si="2">TRUNC($J33*N28,2)</f>
        <v>96.12</v>
      </c>
      <c r="O33" s="30">
        <f t="shared" si="2"/>
        <v>113.16</v>
      </c>
      <c r="P33" s="31">
        <f t="shared" si="2"/>
        <v>223.63</v>
      </c>
    </row>
    <row r="34" spans="1:22" ht="15.75">
      <c r="A34" s="96"/>
      <c r="B34" s="2"/>
      <c r="C34" s="20" t="s">
        <v>17</v>
      </c>
      <c r="D34" s="124" t="s">
        <v>28</v>
      </c>
      <c r="E34" s="124"/>
      <c r="F34" s="124"/>
      <c r="G34" s="124"/>
      <c r="H34" s="124"/>
      <c r="I34" s="124"/>
      <c r="J34" s="36">
        <v>0.121</v>
      </c>
      <c r="K34" s="30">
        <f t="shared" ref="K34:P34" si="3">TRUNC($J34*K28,2)</f>
        <v>203.21</v>
      </c>
      <c r="L34" s="30">
        <f t="shared" si="3"/>
        <v>203.21</v>
      </c>
      <c r="M34" s="30">
        <f t="shared" si="3"/>
        <v>139.56</v>
      </c>
      <c r="N34" s="30">
        <f t="shared" si="3"/>
        <v>139.56</v>
      </c>
      <c r="O34" s="30">
        <f t="shared" si="3"/>
        <v>164.31</v>
      </c>
      <c r="P34" s="31">
        <f t="shared" si="3"/>
        <v>324.70999999999998</v>
      </c>
    </row>
    <row r="35" spans="1:22" ht="15.75">
      <c r="A35" s="96"/>
      <c r="B35" s="2"/>
      <c r="C35" s="125" t="s">
        <v>29</v>
      </c>
      <c r="D35" s="126"/>
      <c r="E35" s="126"/>
      <c r="F35" s="126"/>
      <c r="G35" s="126"/>
      <c r="H35" s="126"/>
      <c r="I35" s="126"/>
      <c r="J35" s="37">
        <f t="shared" ref="J35" si="4">SUM(J33:J34)</f>
        <v>0.20433333333333331</v>
      </c>
      <c r="K35" s="30">
        <f t="shared" ref="K35:P35" si="5">SUM(K33:K34)</f>
        <v>343.15999999999997</v>
      </c>
      <c r="L35" s="30">
        <f t="shared" si="5"/>
        <v>343.15999999999997</v>
      </c>
      <c r="M35" s="30">
        <f t="shared" si="5"/>
        <v>235.68</v>
      </c>
      <c r="N35" s="30">
        <f t="shared" si="5"/>
        <v>235.68</v>
      </c>
      <c r="O35" s="30">
        <f t="shared" si="5"/>
        <v>277.47000000000003</v>
      </c>
      <c r="P35" s="31">
        <f t="shared" si="5"/>
        <v>548.33999999999992</v>
      </c>
    </row>
    <row r="36" spans="1:22" ht="15.75">
      <c r="A36" s="96"/>
      <c r="B36" s="2"/>
      <c r="C36" s="125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46"/>
    </row>
    <row r="37" spans="1:22" ht="15.75">
      <c r="A37" s="96"/>
      <c r="B37" s="2"/>
      <c r="C37" s="164" t="s">
        <v>30</v>
      </c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6"/>
    </row>
    <row r="38" spans="1:22" ht="15.75" customHeight="1">
      <c r="A38" s="96"/>
      <c r="B38" s="2"/>
      <c r="C38" s="167" t="s">
        <v>31</v>
      </c>
      <c r="D38" s="168"/>
      <c r="E38" s="168"/>
      <c r="F38" s="168"/>
      <c r="G38" s="168"/>
      <c r="H38" s="168"/>
      <c r="I38" s="168"/>
      <c r="J38" s="25" t="s">
        <v>13</v>
      </c>
      <c r="K38" s="25" t="s">
        <v>14</v>
      </c>
      <c r="L38" s="25" t="s">
        <v>14</v>
      </c>
      <c r="M38" s="25" t="s">
        <v>14</v>
      </c>
      <c r="N38" s="25" t="s">
        <v>14</v>
      </c>
      <c r="O38" s="25" t="s">
        <v>14</v>
      </c>
      <c r="P38" s="26" t="s">
        <v>14</v>
      </c>
    </row>
    <row r="39" spans="1:22" ht="15.75" customHeight="1">
      <c r="A39" s="96"/>
      <c r="B39" s="2"/>
      <c r="C39" s="20" t="s">
        <v>15</v>
      </c>
      <c r="D39" s="124" t="s">
        <v>32</v>
      </c>
      <c r="E39" s="124"/>
      <c r="F39" s="124"/>
      <c r="G39" s="124"/>
      <c r="H39" s="124"/>
      <c r="I39" s="124"/>
      <c r="J39" s="36">
        <v>0.2</v>
      </c>
      <c r="K39" s="30">
        <f>TRUNC($J39*($K$28+$K$35),2)</f>
        <v>404.51</v>
      </c>
      <c r="L39" s="30">
        <f>TRUNC($J39*($L$28+$L$35),2)</f>
        <v>404.51</v>
      </c>
      <c r="M39" s="30">
        <f t="shared" ref="M39:M46" si="6">TRUNC($J39*($M$28+$M$35),2)</f>
        <v>277.83</v>
      </c>
      <c r="N39" s="30">
        <f t="shared" ref="N39:N46" si="7">TRUNC($J39*($N$28+$N$35),2)</f>
        <v>277.83</v>
      </c>
      <c r="O39" s="30">
        <f t="shared" ref="O39:O46" si="8">TRUNC($J39*($O$28+$O$35),2)</f>
        <v>327.08</v>
      </c>
      <c r="P39" s="31">
        <f>TRUNC($J39*($P$28+$P$35),2)</f>
        <v>646.39</v>
      </c>
    </row>
    <row r="40" spans="1:22" ht="15.4" customHeight="1">
      <c r="A40" s="96"/>
      <c r="B40" s="2"/>
      <c r="C40" s="20" t="s">
        <v>17</v>
      </c>
      <c r="D40" s="124" t="s">
        <v>33</v>
      </c>
      <c r="E40" s="124"/>
      <c r="F40" s="124"/>
      <c r="G40" s="124"/>
      <c r="H40" s="124"/>
      <c r="I40" s="124"/>
      <c r="J40" s="36">
        <v>2.5000000000000001E-2</v>
      </c>
      <c r="K40" s="30">
        <f t="shared" ref="K40:K45" si="9">TRUNC($J40*($K$28+$K$35),2)</f>
        <v>50.56</v>
      </c>
      <c r="L40" s="30">
        <f t="shared" ref="L40:L46" si="10">TRUNC($J40*($L$28+$L$35),2)</f>
        <v>50.56</v>
      </c>
      <c r="M40" s="30">
        <f t="shared" si="6"/>
        <v>34.72</v>
      </c>
      <c r="N40" s="30">
        <f t="shared" si="7"/>
        <v>34.72</v>
      </c>
      <c r="O40" s="30">
        <f t="shared" si="8"/>
        <v>40.880000000000003</v>
      </c>
      <c r="P40" s="31">
        <f>TRUNC($J40*($P$28+$P$35),2)</f>
        <v>80.790000000000006</v>
      </c>
    </row>
    <row r="41" spans="1:22" ht="15.4" customHeight="1">
      <c r="A41" s="96"/>
      <c r="B41" s="2"/>
      <c r="C41" s="20" t="s">
        <v>18</v>
      </c>
      <c r="D41" s="124" t="s">
        <v>172</v>
      </c>
      <c r="E41" s="124"/>
      <c r="F41" s="124"/>
      <c r="G41" s="124"/>
      <c r="H41" s="124"/>
      <c r="I41" s="124"/>
      <c r="J41" s="36">
        <f>2*3%</f>
        <v>0.06</v>
      </c>
      <c r="K41" s="30">
        <f>TRUNC($J41*($K$28+$K$35),2)</f>
        <v>121.35</v>
      </c>
      <c r="L41" s="30">
        <f t="shared" si="10"/>
        <v>121.35</v>
      </c>
      <c r="M41" s="30">
        <f t="shared" si="6"/>
        <v>83.34</v>
      </c>
      <c r="N41" s="30">
        <f t="shared" si="7"/>
        <v>83.34</v>
      </c>
      <c r="O41" s="30">
        <f t="shared" si="8"/>
        <v>98.12</v>
      </c>
      <c r="P41" s="31">
        <f t="shared" ref="P41:P46" si="11">TRUNC($J41*($P$28+$P$35),2)</f>
        <v>193.91</v>
      </c>
    </row>
    <row r="42" spans="1:22" ht="15.4" customHeight="1">
      <c r="A42" s="96"/>
      <c r="B42" s="2"/>
      <c r="C42" s="20" t="s">
        <v>19</v>
      </c>
      <c r="D42" s="124" t="s">
        <v>34</v>
      </c>
      <c r="E42" s="124"/>
      <c r="F42" s="124"/>
      <c r="G42" s="124"/>
      <c r="H42" s="124"/>
      <c r="I42" s="124"/>
      <c r="J42" s="36">
        <v>1.4999999999999999E-2</v>
      </c>
      <c r="K42" s="30">
        <f t="shared" si="9"/>
        <v>30.33</v>
      </c>
      <c r="L42" s="30">
        <f t="shared" si="10"/>
        <v>30.33</v>
      </c>
      <c r="M42" s="30">
        <f t="shared" si="6"/>
        <v>20.83</v>
      </c>
      <c r="N42" s="30">
        <f t="shared" si="7"/>
        <v>20.83</v>
      </c>
      <c r="O42" s="30">
        <f t="shared" si="8"/>
        <v>24.53</v>
      </c>
      <c r="P42" s="31">
        <f t="shared" si="11"/>
        <v>48.47</v>
      </c>
    </row>
    <row r="43" spans="1:22" ht="15.4" customHeight="1">
      <c r="A43" s="96"/>
      <c r="B43" s="2"/>
      <c r="C43" s="20" t="s">
        <v>20</v>
      </c>
      <c r="D43" s="124" t="s">
        <v>35</v>
      </c>
      <c r="E43" s="124"/>
      <c r="F43" s="124"/>
      <c r="G43" s="124"/>
      <c r="H43" s="124"/>
      <c r="I43" s="124"/>
      <c r="J43" s="36">
        <v>0.01</v>
      </c>
      <c r="K43" s="30">
        <f t="shared" si="9"/>
        <v>20.22</v>
      </c>
      <c r="L43" s="30">
        <f t="shared" si="10"/>
        <v>20.22</v>
      </c>
      <c r="M43" s="30">
        <f t="shared" si="6"/>
        <v>13.89</v>
      </c>
      <c r="N43" s="30">
        <f t="shared" si="7"/>
        <v>13.89</v>
      </c>
      <c r="O43" s="30">
        <f t="shared" si="8"/>
        <v>16.350000000000001</v>
      </c>
      <c r="P43" s="31">
        <f t="shared" si="11"/>
        <v>32.31</v>
      </c>
    </row>
    <row r="44" spans="1:22" ht="15.4" customHeight="1">
      <c r="A44" s="96"/>
      <c r="B44" s="2"/>
      <c r="C44" s="20" t="s">
        <v>22</v>
      </c>
      <c r="D44" s="124" t="s">
        <v>36</v>
      </c>
      <c r="E44" s="124"/>
      <c r="F44" s="124"/>
      <c r="G44" s="124"/>
      <c r="H44" s="124"/>
      <c r="I44" s="124"/>
      <c r="J44" s="36">
        <v>6.0000000000000001E-3</v>
      </c>
      <c r="K44" s="30">
        <f t="shared" si="9"/>
        <v>12.13</v>
      </c>
      <c r="L44" s="30">
        <f t="shared" si="10"/>
        <v>12.13</v>
      </c>
      <c r="M44" s="30">
        <f t="shared" si="6"/>
        <v>8.33</v>
      </c>
      <c r="N44" s="30">
        <f t="shared" si="7"/>
        <v>8.33</v>
      </c>
      <c r="O44" s="30">
        <f t="shared" si="8"/>
        <v>9.81</v>
      </c>
      <c r="P44" s="31">
        <f t="shared" si="11"/>
        <v>19.39</v>
      </c>
    </row>
    <row r="45" spans="1:22" ht="15.75">
      <c r="A45" s="96"/>
      <c r="B45" s="2"/>
      <c r="C45" s="20" t="s">
        <v>37</v>
      </c>
      <c r="D45" s="124" t="s">
        <v>38</v>
      </c>
      <c r="E45" s="124"/>
      <c r="F45" s="124"/>
      <c r="G45" s="124"/>
      <c r="H45" s="124"/>
      <c r="I45" s="124"/>
      <c r="J45" s="36">
        <v>2E-3</v>
      </c>
      <c r="K45" s="30">
        <f t="shared" si="9"/>
        <v>4.04</v>
      </c>
      <c r="L45" s="30">
        <f t="shared" si="10"/>
        <v>4.04</v>
      </c>
      <c r="M45" s="30">
        <f t="shared" si="6"/>
        <v>2.77</v>
      </c>
      <c r="N45" s="30">
        <f t="shared" si="7"/>
        <v>2.77</v>
      </c>
      <c r="O45" s="30">
        <f t="shared" si="8"/>
        <v>3.27</v>
      </c>
      <c r="P45" s="31">
        <f t="shared" si="11"/>
        <v>6.46</v>
      </c>
    </row>
    <row r="46" spans="1:22" ht="15.75">
      <c r="A46" s="96"/>
      <c r="B46" s="2"/>
      <c r="C46" s="20" t="s">
        <v>39</v>
      </c>
      <c r="D46" s="124" t="s">
        <v>40</v>
      </c>
      <c r="E46" s="124"/>
      <c r="F46" s="124"/>
      <c r="G46" s="124"/>
      <c r="H46" s="124"/>
      <c r="I46" s="124"/>
      <c r="J46" s="36">
        <v>0.08</v>
      </c>
      <c r="K46" s="30">
        <f>TRUNC($J46*($K$28+$K$35),2)</f>
        <v>161.80000000000001</v>
      </c>
      <c r="L46" s="30">
        <f t="shared" si="10"/>
        <v>161.80000000000001</v>
      </c>
      <c r="M46" s="30">
        <f t="shared" si="6"/>
        <v>111.13</v>
      </c>
      <c r="N46" s="30">
        <f t="shared" si="7"/>
        <v>111.13</v>
      </c>
      <c r="O46" s="30">
        <f t="shared" si="8"/>
        <v>130.83000000000001</v>
      </c>
      <c r="P46" s="31">
        <f t="shared" si="11"/>
        <v>258.55</v>
      </c>
    </row>
    <row r="47" spans="1:22" s="15" customFormat="1" ht="16.5" customHeight="1">
      <c r="A47" s="96"/>
      <c r="B47" s="2"/>
      <c r="C47" s="125" t="s">
        <v>41</v>
      </c>
      <c r="D47" s="126"/>
      <c r="E47" s="126"/>
      <c r="F47" s="126"/>
      <c r="G47" s="126"/>
      <c r="H47" s="126"/>
      <c r="I47" s="126"/>
      <c r="J47" s="37">
        <f t="shared" ref="J47" si="12">SUM(J39:J46)</f>
        <v>0.39800000000000008</v>
      </c>
      <c r="K47" s="38">
        <f t="shared" ref="K47:P47" si="13">SUM(K39:K46)</f>
        <v>804.94</v>
      </c>
      <c r="L47" s="38">
        <f t="shared" si="13"/>
        <v>804.94</v>
      </c>
      <c r="M47" s="38">
        <f t="shared" si="13"/>
        <v>552.83999999999992</v>
      </c>
      <c r="N47" s="38">
        <f t="shared" si="13"/>
        <v>552.83999999999992</v>
      </c>
      <c r="O47" s="38">
        <f t="shared" si="13"/>
        <v>650.87</v>
      </c>
      <c r="P47" s="39">
        <f t="shared" si="13"/>
        <v>1286.2699999999998</v>
      </c>
      <c r="Q47" s="1"/>
      <c r="R47" s="1"/>
      <c r="S47" s="1"/>
      <c r="T47" s="1"/>
      <c r="U47" s="1"/>
      <c r="V47" s="1"/>
    </row>
    <row r="48" spans="1:22" s="15" customFormat="1" ht="15.75" customHeight="1">
      <c r="A48" s="96"/>
      <c r="B48" s="2"/>
      <c r="C48" s="125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46"/>
      <c r="Q48" s="1"/>
      <c r="R48" s="1"/>
      <c r="S48" s="1"/>
      <c r="T48" s="1"/>
      <c r="U48" s="1"/>
      <c r="V48" s="1"/>
    </row>
    <row r="49" spans="1:22" ht="15.4" customHeight="1">
      <c r="A49" s="96"/>
      <c r="B49" s="2"/>
      <c r="C49" s="143" t="s">
        <v>42</v>
      </c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5"/>
    </row>
    <row r="50" spans="1:22" ht="15.4" customHeight="1">
      <c r="A50" s="96"/>
      <c r="B50" s="2"/>
      <c r="C50" s="125" t="s">
        <v>43</v>
      </c>
      <c r="D50" s="126"/>
      <c r="E50" s="126"/>
      <c r="F50" s="126"/>
      <c r="G50" s="126"/>
      <c r="H50" s="126"/>
      <c r="I50" s="126"/>
      <c r="J50" s="126"/>
      <c r="K50" s="25" t="s">
        <v>14</v>
      </c>
      <c r="L50" s="25" t="s">
        <v>14</v>
      </c>
      <c r="M50" s="25" t="s">
        <v>14</v>
      </c>
      <c r="N50" s="25" t="s">
        <v>14</v>
      </c>
      <c r="O50" s="25" t="s">
        <v>14</v>
      </c>
      <c r="P50" s="26" t="s">
        <v>14</v>
      </c>
    </row>
    <row r="51" spans="1:22" ht="15.4" customHeight="1">
      <c r="A51" s="96"/>
      <c r="B51" s="2"/>
      <c r="C51" s="20" t="s">
        <v>15</v>
      </c>
      <c r="D51" s="161" t="s">
        <v>174</v>
      </c>
      <c r="E51" s="162"/>
      <c r="F51" s="162"/>
      <c r="G51" s="162"/>
      <c r="H51" s="163"/>
      <c r="I51" s="40" t="s">
        <v>44</v>
      </c>
      <c r="J51" s="97">
        <v>3.9</v>
      </c>
      <c r="K51" s="30">
        <f>TRUNC((($J$51*2*21)-(K23*6%)),2)</f>
        <v>63.03</v>
      </c>
      <c r="L51" s="30">
        <f>TRUNC((($J$51*2*15)-(L23*6%)),2)</f>
        <v>16.23</v>
      </c>
      <c r="M51" s="30">
        <f>TRUNC((($J$51*2*21)-(M23*6%)),2)</f>
        <v>94.59</v>
      </c>
      <c r="N51" s="30">
        <f>TRUNC((($J$51*2*15)-(N23*6%)),2)</f>
        <v>47.79</v>
      </c>
      <c r="O51" s="30">
        <f>TRUNC((($J$51*2*15)-(O23*6%)),2)</f>
        <v>47.79</v>
      </c>
      <c r="P51" s="31">
        <v>0</v>
      </c>
    </row>
    <row r="52" spans="1:22" ht="15.4" customHeight="1">
      <c r="A52" s="96"/>
      <c r="B52" s="2"/>
      <c r="C52" s="20" t="s">
        <v>17</v>
      </c>
      <c r="D52" s="160" t="s">
        <v>173</v>
      </c>
      <c r="E52" s="160"/>
      <c r="F52" s="160"/>
      <c r="G52" s="160"/>
      <c r="H52" s="160"/>
      <c r="I52" s="92" t="s">
        <v>44</v>
      </c>
      <c r="J52" s="97">
        <v>19</v>
      </c>
      <c r="K52" s="30">
        <f>TRUNC($J$52*21,2)</f>
        <v>399</v>
      </c>
      <c r="L52" s="30">
        <f>TRUNC($J$52*15,2)</f>
        <v>285</v>
      </c>
      <c r="M52" s="30">
        <f>TRUNC($J$52*21,2)</f>
        <v>399</v>
      </c>
      <c r="N52" s="30">
        <f>TRUNC($J$52*15,2)</f>
        <v>285</v>
      </c>
      <c r="O52" s="30">
        <f>TRUNC($J$52*15,2)</f>
        <v>285</v>
      </c>
      <c r="P52" s="31">
        <f>TRUNC($J$52*15,2)</f>
        <v>285</v>
      </c>
    </row>
    <row r="53" spans="1:22" ht="15.4" customHeight="1">
      <c r="A53" s="96"/>
      <c r="B53" s="2"/>
      <c r="C53" s="20" t="s">
        <v>18</v>
      </c>
      <c r="D53" s="160" t="s">
        <v>45</v>
      </c>
      <c r="E53" s="160"/>
      <c r="F53" s="160"/>
      <c r="G53" s="160"/>
      <c r="H53" s="160"/>
      <c r="I53" s="160"/>
      <c r="J53" s="160"/>
      <c r="K53" s="30">
        <v>0</v>
      </c>
      <c r="L53" s="30">
        <v>0</v>
      </c>
      <c r="M53" s="30">
        <v>100</v>
      </c>
      <c r="N53" s="30">
        <v>100</v>
      </c>
      <c r="O53" s="30">
        <v>100</v>
      </c>
      <c r="P53" s="31">
        <v>0</v>
      </c>
    </row>
    <row r="54" spans="1:22" ht="15.4" customHeight="1">
      <c r="A54" s="96"/>
      <c r="B54" s="2"/>
      <c r="C54" s="20" t="s">
        <v>19</v>
      </c>
      <c r="D54" s="160" t="s">
        <v>46</v>
      </c>
      <c r="E54" s="160"/>
      <c r="F54" s="160"/>
      <c r="G54" s="160"/>
      <c r="H54" s="160"/>
      <c r="I54" s="160"/>
      <c r="J54" s="160"/>
      <c r="K54" s="30">
        <v>0</v>
      </c>
      <c r="L54" s="30">
        <v>0</v>
      </c>
      <c r="M54" s="30">
        <f>TRUNC(3.8%*(M$16),2)</f>
        <v>43.83</v>
      </c>
      <c r="N54" s="30">
        <f>TRUNC(3.8%*(N$16),2)</f>
        <v>43.83</v>
      </c>
      <c r="O54" s="30">
        <f>TRUNC(3.8%*(O$16),2)</f>
        <v>43.83</v>
      </c>
      <c r="P54" s="31">
        <v>0</v>
      </c>
    </row>
    <row r="55" spans="1:22" ht="15.4" customHeight="1">
      <c r="A55" s="96"/>
      <c r="B55" s="2"/>
      <c r="C55" s="20" t="s">
        <v>20</v>
      </c>
      <c r="D55" s="160" t="s">
        <v>47</v>
      </c>
      <c r="E55" s="160"/>
      <c r="F55" s="160"/>
      <c r="G55" s="160"/>
      <c r="H55" s="160"/>
      <c r="I55" s="160"/>
      <c r="J55" s="160"/>
      <c r="K55" s="30">
        <v>0</v>
      </c>
      <c r="L55" s="30">
        <v>0</v>
      </c>
      <c r="M55" s="30">
        <f t="shared" ref="M55:O55" si="14">6.97+0.35</f>
        <v>7.3199999999999994</v>
      </c>
      <c r="N55" s="30">
        <f t="shared" si="14"/>
        <v>7.3199999999999994</v>
      </c>
      <c r="O55" s="30">
        <f t="shared" si="14"/>
        <v>7.3199999999999994</v>
      </c>
      <c r="P55" s="31">
        <v>0</v>
      </c>
    </row>
    <row r="56" spans="1:22" ht="15.4" customHeight="1">
      <c r="A56" s="96"/>
      <c r="B56" s="2"/>
      <c r="C56" s="20" t="s">
        <v>22</v>
      </c>
      <c r="D56" s="124" t="s">
        <v>48</v>
      </c>
      <c r="E56" s="124"/>
      <c r="F56" s="124"/>
      <c r="G56" s="124"/>
      <c r="H56" s="124"/>
      <c r="I56" s="124"/>
      <c r="J56" s="124"/>
      <c r="K56" s="30">
        <v>0</v>
      </c>
      <c r="L56" s="30">
        <f>TRUNC((((L$23+L$24)/220)*1.5)*0*15,2)</f>
        <v>0</v>
      </c>
      <c r="M56" s="30">
        <f>TRUNC((((M$23+M$24)/220)*1.5)*0*15,2)</f>
        <v>0</v>
      </c>
      <c r="N56" s="30">
        <v>0</v>
      </c>
      <c r="O56" s="30">
        <v>0</v>
      </c>
      <c r="P56" s="31">
        <v>0</v>
      </c>
    </row>
    <row r="57" spans="1:22" ht="16.5" thickBot="1">
      <c r="A57" s="96"/>
      <c r="B57" s="96"/>
      <c r="C57" s="150" t="s">
        <v>49</v>
      </c>
      <c r="D57" s="151"/>
      <c r="E57" s="151"/>
      <c r="F57" s="151"/>
      <c r="G57" s="151"/>
      <c r="H57" s="151"/>
      <c r="I57" s="151"/>
      <c r="J57" s="151"/>
      <c r="K57" s="42">
        <f>SUM(K51:K56)</f>
        <v>462.03</v>
      </c>
      <c r="L57" s="42">
        <f>SUM(L51:L56)</f>
        <v>301.23</v>
      </c>
      <c r="M57" s="42">
        <f>SUM(M51:M56)</f>
        <v>644.74000000000012</v>
      </c>
      <c r="N57" s="42">
        <f t="shared" ref="N57:O57" si="15">SUM(N51:N56)</f>
        <v>483.94</v>
      </c>
      <c r="O57" s="42">
        <f t="shared" si="15"/>
        <v>483.94</v>
      </c>
      <c r="P57" s="43">
        <f>SUM(P51:P56)</f>
        <v>285</v>
      </c>
      <c r="Q57" s="15"/>
      <c r="R57" s="15"/>
      <c r="S57" s="15"/>
      <c r="T57" s="15"/>
      <c r="U57" s="15"/>
      <c r="V57" s="15"/>
    </row>
    <row r="58" spans="1:22" ht="15.4" customHeight="1" thickTop="1" thickBot="1">
      <c r="A58" s="96"/>
      <c r="B58" s="96"/>
      <c r="C58" s="152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4"/>
      <c r="Q58" s="15"/>
      <c r="R58" s="15"/>
      <c r="S58" s="15"/>
      <c r="T58" s="15"/>
      <c r="U58" s="15"/>
      <c r="V58" s="15"/>
    </row>
    <row r="59" spans="1:22" ht="15.4" customHeight="1" thickTop="1">
      <c r="A59" s="96"/>
      <c r="B59" s="2"/>
      <c r="C59" s="155" t="s">
        <v>136</v>
      </c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7"/>
    </row>
    <row r="60" spans="1:22" ht="15.4" customHeight="1">
      <c r="A60" s="96"/>
      <c r="B60" s="96"/>
      <c r="C60" s="158" t="s">
        <v>50</v>
      </c>
      <c r="D60" s="159"/>
      <c r="E60" s="159"/>
      <c r="F60" s="159"/>
      <c r="G60" s="159"/>
      <c r="H60" s="159"/>
      <c r="I60" s="159"/>
      <c r="J60" s="159"/>
      <c r="K60" s="44" t="s">
        <v>14</v>
      </c>
      <c r="L60" s="44" t="s">
        <v>14</v>
      </c>
      <c r="M60" s="44" t="s">
        <v>14</v>
      </c>
      <c r="N60" s="44" t="s">
        <v>14</v>
      </c>
      <c r="O60" s="44" t="s">
        <v>14</v>
      </c>
      <c r="P60" s="45" t="s">
        <v>14</v>
      </c>
    </row>
    <row r="61" spans="1:22" ht="15.4" customHeight="1">
      <c r="A61" s="96"/>
      <c r="B61" s="2"/>
      <c r="C61" s="46" t="s">
        <v>51</v>
      </c>
      <c r="D61" s="147" t="s">
        <v>26</v>
      </c>
      <c r="E61" s="147"/>
      <c r="F61" s="147"/>
      <c r="G61" s="147"/>
      <c r="H61" s="147"/>
      <c r="I61" s="147"/>
      <c r="J61" s="147"/>
      <c r="K61" s="30">
        <f>K35</f>
        <v>343.15999999999997</v>
      </c>
      <c r="L61" s="30">
        <f>L35</f>
        <v>343.15999999999997</v>
      </c>
      <c r="M61" s="30">
        <f>M35</f>
        <v>235.68</v>
      </c>
      <c r="N61" s="30">
        <f t="shared" ref="N61:O61" si="16">N35</f>
        <v>235.68</v>
      </c>
      <c r="O61" s="30">
        <f t="shared" si="16"/>
        <v>277.47000000000003</v>
      </c>
      <c r="P61" s="31">
        <f>P35</f>
        <v>548.33999999999992</v>
      </c>
    </row>
    <row r="62" spans="1:22" ht="15.4" customHeight="1">
      <c r="A62" s="96"/>
      <c r="B62" s="2"/>
      <c r="C62" s="46" t="s">
        <v>52</v>
      </c>
      <c r="D62" s="147" t="s">
        <v>31</v>
      </c>
      <c r="E62" s="147"/>
      <c r="F62" s="147"/>
      <c r="G62" s="147"/>
      <c r="H62" s="147"/>
      <c r="I62" s="147"/>
      <c r="J62" s="147"/>
      <c r="K62" s="30">
        <f>K47</f>
        <v>804.94</v>
      </c>
      <c r="L62" s="30">
        <f>L47</f>
        <v>804.94</v>
      </c>
      <c r="M62" s="30">
        <f>M47</f>
        <v>552.83999999999992</v>
      </c>
      <c r="N62" s="30">
        <f t="shared" ref="N62:P62" si="17">N47</f>
        <v>552.83999999999992</v>
      </c>
      <c r="O62" s="30">
        <f t="shared" si="17"/>
        <v>650.87</v>
      </c>
      <c r="P62" s="31">
        <f t="shared" si="17"/>
        <v>1286.2699999999998</v>
      </c>
    </row>
    <row r="63" spans="1:22" ht="15.4" customHeight="1">
      <c r="A63" s="96"/>
      <c r="B63" s="2"/>
      <c r="C63" s="46" t="s">
        <v>53</v>
      </c>
      <c r="D63" s="147" t="s">
        <v>43</v>
      </c>
      <c r="E63" s="147"/>
      <c r="F63" s="147"/>
      <c r="G63" s="147"/>
      <c r="H63" s="147"/>
      <c r="I63" s="147"/>
      <c r="J63" s="147"/>
      <c r="K63" s="30">
        <f>K57</f>
        <v>462.03</v>
      </c>
      <c r="L63" s="30">
        <f>L57</f>
        <v>301.23</v>
      </c>
      <c r="M63" s="30">
        <f>M57</f>
        <v>644.74000000000012</v>
      </c>
      <c r="N63" s="30">
        <f t="shared" ref="N63:P63" si="18">N57</f>
        <v>483.94</v>
      </c>
      <c r="O63" s="30">
        <f t="shared" si="18"/>
        <v>483.94</v>
      </c>
      <c r="P63" s="31">
        <f t="shared" si="18"/>
        <v>285</v>
      </c>
    </row>
    <row r="64" spans="1:22" ht="15.4" customHeight="1" thickBot="1">
      <c r="A64" s="96"/>
      <c r="B64" s="2"/>
      <c r="C64" s="148" t="s">
        <v>54</v>
      </c>
      <c r="D64" s="149"/>
      <c r="E64" s="149"/>
      <c r="F64" s="149"/>
      <c r="G64" s="149"/>
      <c r="H64" s="149"/>
      <c r="I64" s="149"/>
      <c r="J64" s="149"/>
      <c r="K64" s="33">
        <f t="shared" ref="K64:P64" si="19">SUM(K61:K63)</f>
        <v>1610.1299999999999</v>
      </c>
      <c r="L64" s="33">
        <f t="shared" si="19"/>
        <v>1449.33</v>
      </c>
      <c r="M64" s="33">
        <f t="shared" si="19"/>
        <v>1433.2600000000002</v>
      </c>
      <c r="N64" s="33">
        <f t="shared" si="19"/>
        <v>1272.46</v>
      </c>
      <c r="O64" s="33">
        <f t="shared" si="19"/>
        <v>1412.28</v>
      </c>
      <c r="P64" s="34">
        <f t="shared" si="19"/>
        <v>2119.6099999999997</v>
      </c>
    </row>
    <row r="65" spans="1:16" ht="17.25" thickTop="1" thickBot="1">
      <c r="A65" s="96"/>
      <c r="B65" s="2"/>
      <c r="C65" s="47"/>
      <c r="D65" s="47"/>
      <c r="E65" s="47"/>
      <c r="F65" s="47"/>
      <c r="G65" s="47"/>
      <c r="H65" s="47"/>
      <c r="I65" s="47"/>
      <c r="J65" s="47"/>
      <c r="K65" s="48"/>
      <c r="L65" s="48"/>
      <c r="M65" s="48"/>
      <c r="N65" s="48"/>
      <c r="O65" s="48"/>
      <c r="P65" s="48"/>
    </row>
    <row r="66" spans="1:16" ht="24.95" customHeight="1" thickTop="1">
      <c r="A66" s="96"/>
      <c r="B66" s="2"/>
      <c r="C66" s="130" t="s">
        <v>55</v>
      </c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2"/>
    </row>
    <row r="67" spans="1:16" ht="15.4" customHeight="1">
      <c r="A67" s="96"/>
      <c r="B67" s="2"/>
      <c r="C67" s="125" t="s">
        <v>56</v>
      </c>
      <c r="D67" s="126"/>
      <c r="E67" s="126"/>
      <c r="F67" s="126"/>
      <c r="G67" s="126"/>
      <c r="H67" s="126"/>
      <c r="I67" s="126"/>
      <c r="J67" s="25" t="s">
        <v>13</v>
      </c>
      <c r="K67" s="25" t="s">
        <v>14</v>
      </c>
      <c r="L67" s="25" t="s">
        <v>14</v>
      </c>
      <c r="M67" s="25" t="s">
        <v>14</v>
      </c>
      <c r="N67" s="25" t="s">
        <v>14</v>
      </c>
      <c r="O67" s="25" t="s">
        <v>14</v>
      </c>
      <c r="P67" s="26" t="s">
        <v>14</v>
      </c>
    </row>
    <row r="68" spans="1:16" ht="15.4" customHeight="1">
      <c r="A68" s="96"/>
      <c r="B68" s="2"/>
      <c r="C68" s="20" t="s">
        <v>15</v>
      </c>
      <c r="D68" s="124" t="s">
        <v>57</v>
      </c>
      <c r="E68" s="124"/>
      <c r="F68" s="124"/>
      <c r="G68" s="124"/>
      <c r="H68" s="124"/>
      <c r="I68" s="124"/>
      <c r="J68" s="35">
        <f>(1/12)*0.05</f>
        <v>4.1666666666666666E-3</v>
      </c>
      <c r="K68" s="30">
        <f t="shared" ref="K68:P68" si="20">TRUNC(K$28*$J$68,2)</f>
        <v>6.99</v>
      </c>
      <c r="L68" s="30">
        <f t="shared" si="20"/>
        <v>6.99</v>
      </c>
      <c r="M68" s="30">
        <f t="shared" si="20"/>
        <v>4.8</v>
      </c>
      <c r="N68" s="30">
        <f t="shared" si="20"/>
        <v>4.8</v>
      </c>
      <c r="O68" s="30">
        <f t="shared" si="20"/>
        <v>5.65</v>
      </c>
      <c r="P68" s="31">
        <f t="shared" si="20"/>
        <v>11.18</v>
      </c>
    </row>
    <row r="69" spans="1:16" ht="15.4" customHeight="1">
      <c r="A69" s="96"/>
      <c r="B69" s="2"/>
      <c r="C69" s="20" t="s">
        <v>17</v>
      </c>
      <c r="D69" s="124" t="s">
        <v>58</v>
      </c>
      <c r="E69" s="124"/>
      <c r="F69" s="124"/>
      <c r="G69" s="124"/>
      <c r="H69" s="124"/>
      <c r="I69" s="124"/>
      <c r="J69" s="35">
        <f>J68*J46</f>
        <v>3.3333333333333332E-4</v>
      </c>
      <c r="K69" s="30">
        <f t="shared" ref="K69:P69" si="21">TRUNC($J$46*K68,2)</f>
        <v>0.55000000000000004</v>
      </c>
      <c r="L69" s="30">
        <f t="shared" si="21"/>
        <v>0.55000000000000004</v>
      </c>
      <c r="M69" s="30">
        <f t="shared" si="21"/>
        <v>0.38</v>
      </c>
      <c r="N69" s="30">
        <f t="shared" si="21"/>
        <v>0.38</v>
      </c>
      <c r="O69" s="30">
        <f t="shared" si="21"/>
        <v>0.45</v>
      </c>
      <c r="P69" s="31">
        <f t="shared" si="21"/>
        <v>0.89</v>
      </c>
    </row>
    <row r="70" spans="1:16" ht="15.4" customHeight="1">
      <c r="A70" s="96"/>
      <c r="B70" s="2"/>
      <c r="C70" s="20" t="s">
        <v>18</v>
      </c>
      <c r="D70" s="124" t="s">
        <v>59</v>
      </c>
      <c r="E70" s="124"/>
      <c r="F70" s="124"/>
      <c r="G70" s="124"/>
      <c r="H70" s="124"/>
      <c r="I70" s="124"/>
      <c r="J70" s="35">
        <f>((7/30)/12)*1</f>
        <v>1.9444444444444445E-2</v>
      </c>
      <c r="K70" s="30">
        <f t="shared" ref="K70:P70" si="22">TRUNC(K$28*$J$70,2)</f>
        <v>32.65</v>
      </c>
      <c r="L70" s="30">
        <f t="shared" si="22"/>
        <v>32.65</v>
      </c>
      <c r="M70" s="30">
        <f t="shared" si="22"/>
        <v>22.42</v>
      </c>
      <c r="N70" s="30">
        <f t="shared" si="22"/>
        <v>22.42</v>
      </c>
      <c r="O70" s="30">
        <f t="shared" si="22"/>
        <v>26.4</v>
      </c>
      <c r="P70" s="31">
        <f t="shared" si="22"/>
        <v>52.18</v>
      </c>
    </row>
    <row r="71" spans="1:16" ht="15.4" customHeight="1">
      <c r="A71" s="96"/>
      <c r="B71" s="2"/>
      <c r="C71" s="20" t="s">
        <v>19</v>
      </c>
      <c r="D71" s="124" t="s">
        <v>60</v>
      </c>
      <c r="E71" s="124"/>
      <c r="F71" s="124"/>
      <c r="G71" s="124"/>
      <c r="H71" s="124"/>
      <c r="I71" s="124"/>
      <c r="J71" s="35">
        <f>J70*J47</f>
        <v>7.7388888888888906E-3</v>
      </c>
      <c r="K71" s="30">
        <f t="shared" ref="K71:P71" si="23">TRUNC($J$47*K$70,2)</f>
        <v>12.99</v>
      </c>
      <c r="L71" s="30">
        <f t="shared" si="23"/>
        <v>12.99</v>
      </c>
      <c r="M71" s="30">
        <f t="shared" si="23"/>
        <v>8.92</v>
      </c>
      <c r="N71" s="30">
        <f t="shared" si="23"/>
        <v>8.92</v>
      </c>
      <c r="O71" s="30">
        <f t="shared" si="23"/>
        <v>10.5</v>
      </c>
      <c r="P71" s="31">
        <f t="shared" si="23"/>
        <v>20.76</v>
      </c>
    </row>
    <row r="72" spans="1:16" ht="15.4" customHeight="1">
      <c r="A72" s="96"/>
      <c r="B72" s="2"/>
      <c r="C72" s="20" t="s">
        <v>20</v>
      </c>
      <c r="D72" s="124" t="s">
        <v>137</v>
      </c>
      <c r="E72" s="124"/>
      <c r="F72" s="124"/>
      <c r="G72" s="124"/>
      <c r="H72" s="124"/>
      <c r="I72" s="124"/>
      <c r="J72" s="36">
        <v>0.04</v>
      </c>
      <c r="K72" s="30">
        <f t="shared" ref="K72:P72" si="24">TRUNC($J$72*K$28,2)</f>
        <v>67.17</v>
      </c>
      <c r="L72" s="30">
        <f t="shared" si="24"/>
        <v>67.17</v>
      </c>
      <c r="M72" s="30">
        <f t="shared" si="24"/>
        <v>46.13</v>
      </c>
      <c r="N72" s="30">
        <f t="shared" si="24"/>
        <v>46.13</v>
      </c>
      <c r="O72" s="30">
        <f t="shared" si="24"/>
        <v>54.31</v>
      </c>
      <c r="P72" s="31">
        <f t="shared" si="24"/>
        <v>107.34</v>
      </c>
    </row>
    <row r="73" spans="1:16" ht="15.4" customHeight="1" thickBot="1">
      <c r="A73" s="96"/>
      <c r="B73" s="2"/>
      <c r="C73" s="127" t="s">
        <v>61</v>
      </c>
      <c r="D73" s="128"/>
      <c r="E73" s="128"/>
      <c r="F73" s="128"/>
      <c r="G73" s="128"/>
      <c r="H73" s="128"/>
      <c r="I73" s="128"/>
      <c r="J73" s="49">
        <f t="shared" ref="J73" si="25">SUM(J68:J72)</f>
        <v>7.1683333333333335E-2</v>
      </c>
      <c r="K73" s="33">
        <f t="shared" ref="K73:P73" si="26">SUM(K68:K72)</f>
        <v>120.35</v>
      </c>
      <c r="L73" s="33">
        <f t="shared" si="26"/>
        <v>120.35</v>
      </c>
      <c r="M73" s="33">
        <f t="shared" si="26"/>
        <v>82.65</v>
      </c>
      <c r="N73" s="33">
        <f t="shared" si="26"/>
        <v>82.65</v>
      </c>
      <c r="O73" s="33">
        <f t="shared" si="26"/>
        <v>97.31</v>
      </c>
      <c r="P73" s="34">
        <f t="shared" si="26"/>
        <v>192.35000000000002</v>
      </c>
    </row>
    <row r="74" spans="1:16" ht="15" customHeight="1" thickTop="1" thickBot="1">
      <c r="A74" s="96"/>
      <c r="B74" s="96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</row>
    <row r="75" spans="1:16" ht="15.4" customHeight="1" thickTop="1">
      <c r="A75" s="96"/>
      <c r="B75" s="2"/>
      <c r="C75" s="130" t="s">
        <v>62</v>
      </c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2"/>
    </row>
    <row r="76" spans="1:16" ht="15.4" customHeight="1">
      <c r="A76" s="96"/>
      <c r="B76" s="2"/>
      <c r="C76" s="125" t="s">
        <v>63</v>
      </c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46"/>
    </row>
    <row r="77" spans="1:16" ht="14.25" customHeight="1">
      <c r="A77" s="96"/>
      <c r="B77" s="2"/>
      <c r="C77" s="125" t="s">
        <v>64</v>
      </c>
      <c r="D77" s="126"/>
      <c r="E77" s="126"/>
      <c r="F77" s="126"/>
      <c r="G77" s="126"/>
      <c r="H77" s="126"/>
      <c r="I77" s="126"/>
      <c r="J77" s="25" t="s">
        <v>13</v>
      </c>
      <c r="K77" s="25" t="s">
        <v>14</v>
      </c>
      <c r="L77" s="25" t="s">
        <v>14</v>
      </c>
      <c r="M77" s="25" t="s">
        <v>14</v>
      </c>
      <c r="N77" s="25" t="s">
        <v>14</v>
      </c>
      <c r="O77" s="25" t="s">
        <v>14</v>
      </c>
      <c r="P77" s="26" t="s">
        <v>14</v>
      </c>
    </row>
    <row r="78" spans="1:16" ht="14.25" customHeight="1">
      <c r="A78" s="96"/>
      <c r="B78" s="2"/>
      <c r="C78" s="20" t="s">
        <v>15</v>
      </c>
      <c r="D78" s="124" t="s">
        <v>65</v>
      </c>
      <c r="E78" s="124"/>
      <c r="F78" s="124"/>
      <c r="G78" s="124"/>
      <c r="H78" s="124"/>
      <c r="I78" s="124"/>
      <c r="J78" s="35">
        <f>(((1+1+1/3)/12)*1)/12</f>
        <v>1.6203703703703703E-2</v>
      </c>
      <c r="K78" s="30">
        <f>TRUNC($J$78*(K$28+K47+K$73),2)</f>
        <v>42.2</v>
      </c>
      <c r="L78" s="30">
        <f>TRUNC($J$78*(L$28+L$47+L$73),2)</f>
        <v>42.2</v>
      </c>
      <c r="M78" s="30">
        <f>TRUNC($J$78*(M$28+M$47+M$73),2)</f>
        <v>28.98</v>
      </c>
      <c r="N78" s="30">
        <f>TRUNC($J$78*(N$28+N$47+N$73),2)</f>
        <v>28.98</v>
      </c>
      <c r="O78" s="30">
        <f>TRUNC($J$78*(O$28+O$47+O$73),2)</f>
        <v>34.119999999999997</v>
      </c>
      <c r="P78" s="31">
        <f>TRUNC($J$78*(P$28+P$47+P$73),2)</f>
        <v>67.44</v>
      </c>
    </row>
    <row r="79" spans="1:16" ht="14.25" customHeight="1">
      <c r="A79" s="96"/>
      <c r="B79" s="2"/>
      <c r="C79" s="20" t="s">
        <v>17</v>
      </c>
      <c r="D79" s="124" t="s">
        <v>66</v>
      </c>
      <c r="E79" s="124"/>
      <c r="F79" s="124"/>
      <c r="G79" s="124"/>
      <c r="H79" s="124"/>
      <c r="I79" s="124"/>
      <c r="J79" s="35">
        <f>(2/30)*(1/12)</f>
        <v>5.5555555555555549E-3</v>
      </c>
      <c r="K79" s="30">
        <f>TRUNC($J$79*(K$28+K$64+K$73),2)</f>
        <v>18.940000000000001</v>
      </c>
      <c r="L79" s="30">
        <f t="shared" ref="L79:P79" si="27">TRUNC($J$79*(L$28+L$64+L$73),2)</f>
        <v>18.05</v>
      </c>
      <c r="M79" s="30">
        <f t="shared" si="27"/>
        <v>14.82</v>
      </c>
      <c r="N79" s="30">
        <f t="shared" si="27"/>
        <v>13.93</v>
      </c>
      <c r="O79" s="30">
        <f t="shared" si="27"/>
        <v>15.93</v>
      </c>
      <c r="P79" s="31">
        <f t="shared" si="27"/>
        <v>27.75</v>
      </c>
    </row>
    <row r="80" spans="1:16" ht="15.4" customHeight="1">
      <c r="A80" s="96"/>
      <c r="B80" s="2"/>
      <c r="C80" s="20" t="s">
        <v>18</v>
      </c>
      <c r="D80" s="124" t="s">
        <v>67</v>
      </c>
      <c r="E80" s="124"/>
      <c r="F80" s="124"/>
      <c r="G80" s="124"/>
      <c r="H80" s="124"/>
      <c r="I80" s="124"/>
      <c r="J80" s="35">
        <f>((5/30)/12)*2%</f>
        <v>2.7777777777777778E-4</v>
      </c>
      <c r="K80" s="30">
        <f>TRUNC($J$80*(K$28+K$64+K$73),2)</f>
        <v>0.94</v>
      </c>
      <c r="L80" s="30">
        <f t="shared" ref="L80:P80" si="28">TRUNC($J$80*(L$28+L$64+L$73),2)</f>
        <v>0.9</v>
      </c>
      <c r="M80" s="30">
        <f t="shared" si="28"/>
        <v>0.74</v>
      </c>
      <c r="N80" s="30">
        <f t="shared" si="28"/>
        <v>0.69</v>
      </c>
      <c r="O80" s="30">
        <f t="shared" si="28"/>
        <v>0.79</v>
      </c>
      <c r="P80" s="31">
        <f t="shared" si="28"/>
        <v>1.38</v>
      </c>
    </row>
    <row r="81" spans="1:16" ht="15.4" customHeight="1">
      <c r="A81" s="96"/>
      <c r="B81" s="2"/>
      <c r="C81" s="20" t="s">
        <v>19</v>
      </c>
      <c r="D81" s="124" t="s">
        <v>68</v>
      </c>
      <c r="E81" s="124"/>
      <c r="F81" s="124"/>
      <c r="G81" s="124"/>
      <c r="H81" s="124"/>
      <c r="I81" s="124"/>
      <c r="J81" s="35">
        <f>((15/30)/12)*0.08*100%</f>
        <v>3.3333333333333331E-3</v>
      </c>
      <c r="K81" s="30">
        <f t="shared" ref="K81:P81" si="29">TRUNC($J$81*(K$28+K$64+K$73),2)</f>
        <v>11.36</v>
      </c>
      <c r="L81" s="30">
        <f t="shared" si="29"/>
        <v>10.83</v>
      </c>
      <c r="M81" s="30">
        <f t="shared" si="29"/>
        <v>8.89</v>
      </c>
      <c r="N81" s="30">
        <f t="shared" si="29"/>
        <v>8.36</v>
      </c>
      <c r="O81" s="30">
        <f t="shared" si="29"/>
        <v>9.5500000000000007</v>
      </c>
      <c r="P81" s="31">
        <f t="shared" si="29"/>
        <v>16.649999999999999</v>
      </c>
    </row>
    <row r="82" spans="1:16" ht="15.4" customHeight="1">
      <c r="A82" s="96"/>
      <c r="B82" s="2"/>
      <c r="C82" s="20" t="s">
        <v>20</v>
      </c>
      <c r="D82" s="124" t="s">
        <v>69</v>
      </c>
      <c r="E82" s="124"/>
      <c r="F82" s="124"/>
      <c r="G82" s="124"/>
      <c r="H82" s="124"/>
      <c r="I82" s="124"/>
      <c r="J82" s="35">
        <f>((1+1/3)/12)*0.03*(4/12)*1</f>
        <v>1.1111111111111109E-3</v>
      </c>
      <c r="K82" s="30">
        <f>TRUNC($J$82*(K$28+K$64+K$73),2)</f>
        <v>3.78</v>
      </c>
      <c r="L82" s="30">
        <f t="shared" ref="L82:P82" si="30">TRUNC($J$82*(L$28+L$64+L$73),2)</f>
        <v>3.61</v>
      </c>
      <c r="M82" s="30">
        <f t="shared" si="30"/>
        <v>2.96</v>
      </c>
      <c r="N82" s="30">
        <f t="shared" si="30"/>
        <v>2.78</v>
      </c>
      <c r="O82" s="30">
        <f t="shared" si="30"/>
        <v>3.18</v>
      </c>
      <c r="P82" s="31">
        <f t="shared" si="30"/>
        <v>5.55</v>
      </c>
    </row>
    <row r="83" spans="1:16" ht="15.4" customHeight="1">
      <c r="A83" s="96"/>
      <c r="B83" s="96"/>
      <c r="C83" s="20" t="s">
        <v>22</v>
      </c>
      <c r="D83" s="124" t="s">
        <v>70</v>
      </c>
      <c r="E83" s="124"/>
      <c r="F83" s="124"/>
      <c r="G83" s="124"/>
      <c r="H83" s="124"/>
      <c r="I83" s="124"/>
      <c r="J83" s="35">
        <v>0</v>
      </c>
      <c r="K83" s="30">
        <f t="shared" ref="K83:P83" si="31">ROUND(J83*K28,2)</f>
        <v>0</v>
      </c>
      <c r="L83" s="30">
        <f t="shared" si="31"/>
        <v>0</v>
      </c>
      <c r="M83" s="30">
        <f t="shared" si="31"/>
        <v>0</v>
      </c>
      <c r="N83" s="30">
        <f>ROUND(K83*N28,2)</f>
        <v>0</v>
      </c>
      <c r="O83" s="30">
        <f t="shared" si="31"/>
        <v>0</v>
      </c>
      <c r="P83" s="31">
        <f t="shared" si="31"/>
        <v>0</v>
      </c>
    </row>
    <row r="84" spans="1:16" ht="15.4" customHeight="1">
      <c r="A84" s="96"/>
      <c r="B84" s="2"/>
      <c r="C84" s="125" t="s">
        <v>71</v>
      </c>
      <c r="D84" s="126"/>
      <c r="E84" s="126"/>
      <c r="F84" s="126"/>
      <c r="G84" s="126"/>
      <c r="H84" s="126"/>
      <c r="I84" s="126"/>
      <c r="J84" s="37">
        <f t="shared" ref="J84:O84" si="32">SUM(J78:J83)</f>
        <v>2.6481481481481477E-2</v>
      </c>
      <c r="K84" s="38">
        <f t="shared" si="32"/>
        <v>77.22</v>
      </c>
      <c r="L84" s="38">
        <f>SUM(L78:L83)</f>
        <v>75.59</v>
      </c>
      <c r="M84" s="38">
        <f>SUM(M78:M83)</f>
        <v>56.39</v>
      </c>
      <c r="N84" s="38">
        <f t="shared" si="32"/>
        <v>54.739999999999995</v>
      </c>
      <c r="O84" s="38">
        <f t="shared" si="32"/>
        <v>63.57</v>
      </c>
      <c r="P84" s="39">
        <f>SUM(P78:P83)</f>
        <v>118.77</v>
      </c>
    </row>
    <row r="85" spans="1:16" ht="14.25" customHeight="1">
      <c r="A85" s="96"/>
      <c r="B85" s="2"/>
      <c r="C85" s="140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  <c r="O85" s="141"/>
      <c r="P85" s="142"/>
    </row>
    <row r="86" spans="1:16" ht="15.75" customHeight="1">
      <c r="A86" s="96"/>
      <c r="B86" s="2"/>
      <c r="C86" s="143" t="s">
        <v>72</v>
      </c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5"/>
    </row>
    <row r="87" spans="1:16" ht="15.4" customHeight="1">
      <c r="A87" s="96"/>
      <c r="B87" s="2"/>
      <c r="C87" s="125" t="s">
        <v>73</v>
      </c>
      <c r="D87" s="126"/>
      <c r="E87" s="126"/>
      <c r="F87" s="126"/>
      <c r="G87" s="126"/>
      <c r="H87" s="126"/>
      <c r="I87" s="126"/>
      <c r="J87" s="50" t="s">
        <v>13</v>
      </c>
      <c r="K87" s="25" t="s">
        <v>14</v>
      </c>
      <c r="L87" s="25" t="s">
        <v>14</v>
      </c>
      <c r="M87" s="25" t="s">
        <v>14</v>
      </c>
      <c r="N87" s="25" t="s">
        <v>14</v>
      </c>
      <c r="O87" s="25" t="s">
        <v>14</v>
      </c>
      <c r="P87" s="26" t="s">
        <v>14</v>
      </c>
    </row>
    <row r="88" spans="1:16" ht="24.95" customHeight="1">
      <c r="A88" s="96"/>
      <c r="B88" s="2"/>
      <c r="C88" s="20" t="s">
        <v>15</v>
      </c>
      <c r="D88" s="124" t="s">
        <v>74</v>
      </c>
      <c r="E88" s="124"/>
      <c r="F88" s="124"/>
      <c r="G88" s="124"/>
      <c r="H88" s="124"/>
      <c r="I88" s="124"/>
      <c r="J88" s="36">
        <f>ROUND(J49*J84,4)</f>
        <v>0</v>
      </c>
      <c r="K88" s="28">
        <f t="shared" ref="K88:O88" si="33">ROUND($J88*K28,2)</f>
        <v>0</v>
      </c>
      <c r="L88" s="28">
        <f>ROUND($J88*L28,2)</f>
        <v>0</v>
      </c>
      <c r="M88" s="28">
        <f>ROUND($J88*M28,2)</f>
        <v>0</v>
      </c>
      <c r="N88" s="28">
        <f t="shared" si="33"/>
        <v>0</v>
      </c>
      <c r="O88" s="28">
        <f t="shared" si="33"/>
        <v>0</v>
      </c>
      <c r="P88" s="29">
        <f>ROUND($J88*P28,2)</f>
        <v>0</v>
      </c>
    </row>
    <row r="89" spans="1:16" ht="15.4" customHeight="1" thickBot="1">
      <c r="A89" s="96"/>
      <c r="B89" s="2"/>
      <c r="C89" s="127" t="s">
        <v>75</v>
      </c>
      <c r="D89" s="128"/>
      <c r="E89" s="128"/>
      <c r="F89" s="128"/>
      <c r="G89" s="128"/>
      <c r="H89" s="128"/>
      <c r="I89" s="128"/>
      <c r="J89" s="49">
        <f t="shared" ref="J89:O89" si="34">SUM(J88)</f>
        <v>0</v>
      </c>
      <c r="K89" s="51">
        <f t="shared" si="34"/>
        <v>0</v>
      </c>
      <c r="L89" s="51">
        <f>SUM(L88)</f>
        <v>0</v>
      </c>
      <c r="M89" s="51">
        <f>SUM(M88)</f>
        <v>0</v>
      </c>
      <c r="N89" s="51">
        <f t="shared" si="34"/>
        <v>0</v>
      </c>
      <c r="O89" s="51">
        <f t="shared" si="34"/>
        <v>0</v>
      </c>
      <c r="P89" s="52">
        <f>SUM(P88)</f>
        <v>0</v>
      </c>
    </row>
    <row r="90" spans="1:16" ht="15.4" customHeight="1" thickTop="1" thickBot="1">
      <c r="A90" s="96"/>
      <c r="B90" s="2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</row>
    <row r="91" spans="1:16" ht="15.4" customHeight="1" thickTop="1">
      <c r="A91" s="96"/>
      <c r="B91" s="2"/>
      <c r="C91" s="130" t="s">
        <v>76</v>
      </c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2"/>
    </row>
    <row r="92" spans="1:16" ht="15.4" customHeight="1">
      <c r="A92" s="96"/>
      <c r="B92" s="2"/>
      <c r="C92" s="125" t="s">
        <v>77</v>
      </c>
      <c r="D92" s="126"/>
      <c r="E92" s="126"/>
      <c r="F92" s="126"/>
      <c r="G92" s="126"/>
      <c r="H92" s="126"/>
      <c r="I92" s="126"/>
      <c r="J92" s="126"/>
      <c r="K92" s="25" t="s">
        <v>14</v>
      </c>
      <c r="L92" s="25" t="s">
        <v>14</v>
      </c>
      <c r="M92" s="25" t="s">
        <v>14</v>
      </c>
      <c r="N92" s="25" t="s">
        <v>14</v>
      </c>
      <c r="O92" s="25" t="s">
        <v>14</v>
      </c>
      <c r="P92" s="26" t="s">
        <v>14</v>
      </c>
    </row>
    <row r="93" spans="1:16" ht="15.4" customHeight="1">
      <c r="A93" s="96"/>
      <c r="B93" s="2"/>
      <c r="C93" s="20" t="s">
        <v>78</v>
      </c>
      <c r="D93" s="124" t="s">
        <v>64</v>
      </c>
      <c r="E93" s="124"/>
      <c r="F93" s="124"/>
      <c r="G93" s="124"/>
      <c r="H93" s="124"/>
      <c r="I93" s="124"/>
      <c r="J93" s="124"/>
      <c r="K93" s="30">
        <f>K84</f>
        <v>77.22</v>
      </c>
      <c r="L93" s="30">
        <f>L84</f>
        <v>75.59</v>
      </c>
      <c r="M93" s="30">
        <f>M84</f>
        <v>56.39</v>
      </c>
      <c r="N93" s="30">
        <f t="shared" ref="N93:O93" si="35">N84</f>
        <v>54.739999999999995</v>
      </c>
      <c r="O93" s="30">
        <f t="shared" si="35"/>
        <v>63.57</v>
      </c>
      <c r="P93" s="31">
        <f>P84</f>
        <v>118.77</v>
      </c>
    </row>
    <row r="94" spans="1:16" ht="15.4" customHeight="1">
      <c r="A94" s="96"/>
      <c r="B94" s="2"/>
      <c r="C94" s="20" t="s">
        <v>79</v>
      </c>
      <c r="D94" s="124" t="s">
        <v>73</v>
      </c>
      <c r="E94" s="124"/>
      <c r="F94" s="124"/>
      <c r="G94" s="124"/>
      <c r="H94" s="124"/>
      <c r="I94" s="124"/>
      <c r="J94" s="124"/>
      <c r="K94" s="30">
        <f t="shared" ref="K94:O94" si="36">K89</f>
        <v>0</v>
      </c>
      <c r="L94" s="30">
        <f>L89</f>
        <v>0</v>
      </c>
      <c r="M94" s="30">
        <f>M89</f>
        <v>0</v>
      </c>
      <c r="N94" s="30">
        <f t="shared" si="36"/>
        <v>0</v>
      </c>
      <c r="O94" s="30">
        <f t="shared" si="36"/>
        <v>0</v>
      </c>
      <c r="P94" s="31">
        <f>P89</f>
        <v>0</v>
      </c>
    </row>
    <row r="95" spans="1:16" ht="16.5" thickBot="1">
      <c r="A95" s="96"/>
      <c r="B95" s="2"/>
      <c r="C95" s="127" t="s">
        <v>80</v>
      </c>
      <c r="D95" s="128"/>
      <c r="E95" s="128"/>
      <c r="F95" s="128"/>
      <c r="G95" s="128"/>
      <c r="H95" s="128"/>
      <c r="I95" s="128"/>
      <c r="J95" s="128"/>
      <c r="K95" s="33">
        <f t="shared" ref="K95:O95" si="37">SUM(K93:K94)</f>
        <v>77.22</v>
      </c>
      <c r="L95" s="33">
        <f>SUM(L93:L94)</f>
        <v>75.59</v>
      </c>
      <c r="M95" s="33">
        <f>SUM(M93:M94)</f>
        <v>56.39</v>
      </c>
      <c r="N95" s="33">
        <f t="shared" si="37"/>
        <v>54.739999999999995</v>
      </c>
      <c r="O95" s="33">
        <f t="shared" si="37"/>
        <v>63.57</v>
      </c>
      <c r="P95" s="34">
        <f>SUM(P93:P94)</f>
        <v>118.77</v>
      </c>
    </row>
    <row r="96" spans="1:16" ht="24.95" customHeight="1" thickTop="1" thickBot="1">
      <c r="A96" s="96"/>
      <c r="B96" s="2"/>
      <c r="C96" s="129"/>
      <c r="D96" s="129"/>
      <c r="E96" s="129"/>
      <c r="F96" s="129"/>
      <c r="G96" s="129"/>
      <c r="H96" s="129"/>
      <c r="I96" s="129"/>
      <c r="J96" s="129"/>
      <c r="K96" s="129"/>
      <c r="L96" s="129"/>
      <c r="M96" s="129"/>
      <c r="N96" s="129"/>
      <c r="O96" s="129"/>
      <c r="P96" s="129"/>
    </row>
    <row r="97" spans="1:16" ht="15" customHeight="1" thickTop="1">
      <c r="A97" s="96"/>
      <c r="B97" s="2"/>
      <c r="C97" s="130" t="s">
        <v>138</v>
      </c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2"/>
    </row>
    <row r="98" spans="1:16" ht="15" customHeight="1">
      <c r="A98" s="96"/>
      <c r="B98" s="2"/>
      <c r="C98" s="125" t="s">
        <v>81</v>
      </c>
      <c r="D98" s="126"/>
      <c r="E98" s="126"/>
      <c r="F98" s="126"/>
      <c r="G98" s="126"/>
      <c r="H98" s="126"/>
      <c r="I98" s="126"/>
      <c r="J98" s="126"/>
      <c r="K98" s="25" t="s">
        <v>14</v>
      </c>
      <c r="L98" s="25" t="s">
        <v>14</v>
      </c>
      <c r="M98" s="25" t="s">
        <v>14</v>
      </c>
      <c r="N98" s="25" t="s">
        <v>14</v>
      </c>
      <c r="O98" s="25" t="s">
        <v>14</v>
      </c>
      <c r="P98" s="26" t="s">
        <v>14</v>
      </c>
    </row>
    <row r="99" spans="1:16" ht="15.75">
      <c r="A99" s="96"/>
      <c r="B99" s="2"/>
      <c r="C99" s="20" t="s">
        <v>15</v>
      </c>
      <c r="D99" s="139" t="s">
        <v>82</v>
      </c>
      <c r="E99" s="139"/>
      <c r="F99" s="139"/>
      <c r="G99" s="139"/>
      <c r="H99" s="139"/>
      <c r="I99" s="139"/>
      <c r="J99" s="139"/>
      <c r="K99" s="30">
        <f>'Uniformes e Equipamentos'!H29</f>
        <v>42.016666666666673</v>
      </c>
      <c r="L99" s="30">
        <f>'Uniformes e Equipamentos'!H29</f>
        <v>42.016666666666673</v>
      </c>
      <c r="M99" s="30">
        <f>'Uniformes e Equipamentos'!H19</f>
        <v>42.016666666666673</v>
      </c>
      <c r="N99" s="30">
        <f>'Uniformes e Equipamentos'!H19</f>
        <v>42.016666666666673</v>
      </c>
      <c r="O99" s="30">
        <f>'Uniformes e Equipamentos'!H19</f>
        <v>42.016666666666673</v>
      </c>
      <c r="P99" s="31">
        <f>'Uniformes e Equipamentos'!H29</f>
        <v>42.016666666666673</v>
      </c>
    </row>
    <row r="100" spans="1:16" ht="15.75">
      <c r="A100" s="96"/>
      <c r="B100" s="2"/>
      <c r="C100" s="20" t="s">
        <v>17</v>
      </c>
      <c r="D100" s="139" t="s">
        <v>83</v>
      </c>
      <c r="E100" s="139"/>
      <c r="F100" s="139"/>
      <c r="G100" s="139"/>
      <c r="H100" s="139"/>
      <c r="I100" s="139"/>
      <c r="J100" s="139"/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1">
        <v>0</v>
      </c>
    </row>
    <row r="101" spans="1:16" ht="15.75">
      <c r="A101" s="96"/>
      <c r="B101" s="2"/>
      <c r="C101" s="20" t="s">
        <v>18</v>
      </c>
      <c r="D101" s="124" t="s">
        <v>84</v>
      </c>
      <c r="E101" s="124"/>
      <c r="F101" s="124"/>
      <c r="G101" s="124"/>
      <c r="H101" s="124"/>
      <c r="I101" s="124"/>
      <c r="J101" s="124"/>
      <c r="K101" s="30">
        <f>'Uniformes e Equipamentos'!H51</f>
        <v>18.96</v>
      </c>
      <c r="L101" s="30">
        <f>'Uniformes e Equipamentos'!H51</f>
        <v>18.96</v>
      </c>
      <c r="M101" s="30">
        <f>'Uniformes e Equipamentos'!H42</f>
        <v>64.308333333333323</v>
      </c>
      <c r="N101" s="30">
        <f>'Uniformes e Equipamentos'!H42</f>
        <v>64.308333333333323</v>
      </c>
      <c r="O101" s="30">
        <f>'Uniformes e Equipamentos'!H42</f>
        <v>64.308333333333323</v>
      </c>
      <c r="P101" s="31">
        <f>'Uniformes e Equipamentos'!H51</f>
        <v>18.96</v>
      </c>
    </row>
    <row r="102" spans="1:16" ht="15.75">
      <c r="A102" s="96"/>
      <c r="B102" s="2"/>
      <c r="C102" s="20" t="s">
        <v>19</v>
      </c>
      <c r="D102" s="124" t="s">
        <v>85</v>
      </c>
      <c r="E102" s="124"/>
      <c r="F102" s="124"/>
      <c r="G102" s="124"/>
      <c r="H102" s="124"/>
      <c r="I102" s="124"/>
      <c r="J102" s="124"/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1">
        <v>0</v>
      </c>
    </row>
    <row r="103" spans="1:16" ht="15" customHeight="1" thickBot="1">
      <c r="A103" s="96"/>
      <c r="B103" s="2"/>
      <c r="C103" s="127" t="s">
        <v>86</v>
      </c>
      <c r="D103" s="128"/>
      <c r="E103" s="128"/>
      <c r="F103" s="128"/>
      <c r="G103" s="128"/>
      <c r="H103" s="128"/>
      <c r="I103" s="128"/>
      <c r="J103" s="128"/>
      <c r="K103" s="33">
        <f t="shared" ref="K103:O103" si="38">SUM(K99:K102)</f>
        <v>60.976666666666674</v>
      </c>
      <c r="L103" s="33">
        <f>SUM(L99:L102)</f>
        <v>60.976666666666674</v>
      </c>
      <c r="M103" s="33">
        <f>SUM(M99:M102)</f>
        <v>106.32499999999999</v>
      </c>
      <c r="N103" s="33">
        <f t="shared" si="38"/>
        <v>106.32499999999999</v>
      </c>
      <c r="O103" s="33">
        <f t="shared" si="38"/>
        <v>106.32499999999999</v>
      </c>
      <c r="P103" s="34">
        <f>SUM(P99:P102)</f>
        <v>60.976666666666674</v>
      </c>
    </row>
    <row r="104" spans="1:16" ht="17.25" thickTop="1" thickBot="1">
      <c r="A104" s="96"/>
      <c r="B104" s="2"/>
      <c r="C104" s="129"/>
      <c r="D104" s="129"/>
      <c r="E104" s="129"/>
      <c r="F104" s="129"/>
      <c r="G104" s="129"/>
      <c r="H104" s="129"/>
      <c r="I104" s="129"/>
      <c r="J104" s="129"/>
      <c r="K104" s="129"/>
      <c r="L104" s="129"/>
      <c r="M104" s="129"/>
      <c r="N104" s="129"/>
      <c r="O104" s="129"/>
      <c r="P104" s="129"/>
    </row>
    <row r="105" spans="1:16" ht="16.5" thickTop="1">
      <c r="A105" s="96"/>
      <c r="B105" s="2"/>
      <c r="C105" s="130" t="s">
        <v>87</v>
      </c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2"/>
    </row>
    <row r="106" spans="1:16" ht="15" customHeight="1">
      <c r="A106" s="96"/>
      <c r="B106" s="2"/>
      <c r="C106" s="137" t="s">
        <v>88</v>
      </c>
      <c r="D106" s="138"/>
      <c r="E106" s="138"/>
      <c r="F106" s="138"/>
      <c r="G106" s="138"/>
      <c r="H106" s="138"/>
      <c r="I106" s="138"/>
      <c r="J106" s="25" t="s">
        <v>13</v>
      </c>
      <c r="K106" s="25" t="s">
        <v>14</v>
      </c>
      <c r="L106" s="25" t="s">
        <v>14</v>
      </c>
      <c r="M106" s="25" t="s">
        <v>14</v>
      </c>
      <c r="N106" s="25" t="s">
        <v>14</v>
      </c>
      <c r="O106" s="25" t="s">
        <v>14</v>
      </c>
      <c r="P106" s="26" t="s">
        <v>14</v>
      </c>
    </row>
    <row r="107" spans="1:16" ht="15.75">
      <c r="A107" s="96"/>
      <c r="B107" s="2"/>
      <c r="C107" s="53" t="s">
        <v>15</v>
      </c>
      <c r="D107" s="124" t="s">
        <v>89</v>
      </c>
      <c r="E107" s="124"/>
      <c r="F107" s="124"/>
      <c r="G107" s="124"/>
      <c r="H107" s="124"/>
      <c r="I107" s="124"/>
      <c r="J107" s="36">
        <v>0.05</v>
      </c>
      <c r="K107" s="41">
        <f t="shared" ref="K107:P107" si="39">TRUNC((K$124)*$J$107,2)</f>
        <v>177.4</v>
      </c>
      <c r="L107" s="41">
        <f t="shared" si="39"/>
        <v>169.28</v>
      </c>
      <c r="M107" s="41">
        <f t="shared" si="39"/>
        <v>141.6</v>
      </c>
      <c r="N107" s="41">
        <f t="shared" si="39"/>
        <v>133.47999999999999</v>
      </c>
      <c r="O107" s="41">
        <f t="shared" si="39"/>
        <v>151.87</v>
      </c>
      <c r="P107" s="54">
        <f t="shared" si="39"/>
        <v>258.76</v>
      </c>
    </row>
    <row r="108" spans="1:16" ht="24.95" customHeight="1">
      <c r="A108" s="96"/>
      <c r="B108" s="2"/>
      <c r="C108" s="53" t="s">
        <v>17</v>
      </c>
      <c r="D108" s="124" t="s">
        <v>90</v>
      </c>
      <c r="E108" s="124"/>
      <c r="F108" s="124"/>
      <c r="G108" s="124"/>
      <c r="H108" s="124"/>
      <c r="I108" s="124"/>
      <c r="J108" s="36">
        <v>0.1</v>
      </c>
      <c r="K108" s="41">
        <f t="shared" ref="K108:P108" si="40">TRUNC((K$124+K$107)*$J$108,2)</f>
        <v>372.55</v>
      </c>
      <c r="L108" s="41">
        <f t="shared" si="40"/>
        <v>355.49</v>
      </c>
      <c r="M108" s="41">
        <f t="shared" si="40"/>
        <v>297.36</v>
      </c>
      <c r="N108" s="41">
        <f t="shared" si="40"/>
        <v>280.31</v>
      </c>
      <c r="O108" s="41">
        <f t="shared" si="40"/>
        <v>318.92</v>
      </c>
      <c r="P108" s="54">
        <f t="shared" si="40"/>
        <v>543.4</v>
      </c>
    </row>
    <row r="109" spans="1:16" ht="15" customHeight="1">
      <c r="A109" s="96"/>
      <c r="B109" s="2"/>
      <c r="C109" s="53" t="s">
        <v>18</v>
      </c>
      <c r="D109" s="124" t="s">
        <v>91</v>
      </c>
      <c r="E109" s="124"/>
      <c r="F109" s="124"/>
      <c r="G109" s="124"/>
      <c r="H109" s="124"/>
      <c r="I109" s="124"/>
      <c r="J109" s="36">
        <f>SUM(J110:J114)</f>
        <v>0.14250000000000002</v>
      </c>
      <c r="K109" s="41">
        <f t="shared" ref="K109:O109" si="41">TRUNC(SUM(K110:K114),2)</f>
        <v>681.01</v>
      </c>
      <c r="L109" s="41">
        <f>TRUNC(SUM(L110:L114),2)</f>
        <v>649.83000000000004</v>
      </c>
      <c r="M109" s="41">
        <f>TRUNC(SUM(M110:M114),2)</f>
        <v>543.58000000000004</v>
      </c>
      <c r="N109" s="41">
        <f t="shared" si="41"/>
        <v>512.4</v>
      </c>
      <c r="O109" s="41">
        <f t="shared" si="41"/>
        <v>582.99</v>
      </c>
      <c r="P109" s="54">
        <f>TRUNC(SUM(P110:P114),2)</f>
        <v>993.34</v>
      </c>
    </row>
    <row r="110" spans="1:16" ht="15" customHeight="1">
      <c r="A110" s="96"/>
      <c r="B110" s="2"/>
      <c r="C110" s="55"/>
      <c r="D110" s="124" t="s">
        <v>92</v>
      </c>
      <c r="E110" s="124"/>
      <c r="F110" s="124"/>
      <c r="G110" s="124"/>
      <c r="H110" s="124"/>
      <c r="I110" s="124"/>
      <c r="J110" s="36"/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54">
        <v>0</v>
      </c>
    </row>
    <row r="111" spans="1:16" ht="15" customHeight="1">
      <c r="A111" s="96"/>
      <c r="B111" s="2"/>
      <c r="C111" s="55"/>
      <c r="D111" s="124" t="s">
        <v>93</v>
      </c>
      <c r="E111" s="124"/>
      <c r="F111" s="124"/>
      <c r="G111" s="124"/>
      <c r="H111" s="124"/>
      <c r="I111" s="124"/>
      <c r="J111" s="36">
        <v>1.6500000000000001E-2</v>
      </c>
      <c r="K111" s="41">
        <f t="shared" ref="K111:P111" si="42">TRUNC($J$111*K$126,3)</f>
        <v>78.853999999999999</v>
      </c>
      <c r="L111" s="41">
        <f t="shared" si="42"/>
        <v>75.244</v>
      </c>
      <c r="M111" s="41">
        <f t="shared" si="42"/>
        <v>62.941000000000003</v>
      </c>
      <c r="N111" s="41">
        <f t="shared" si="42"/>
        <v>59.331000000000003</v>
      </c>
      <c r="O111" s="41">
        <f t="shared" si="42"/>
        <v>67.504000000000005</v>
      </c>
      <c r="P111" s="54">
        <f t="shared" si="42"/>
        <v>115.018</v>
      </c>
    </row>
    <row r="112" spans="1:16" ht="15" customHeight="1">
      <c r="A112" s="96"/>
      <c r="B112" s="2"/>
      <c r="C112" s="55"/>
      <c r="D112" s="124" t="s">
        <v>94</v>
      </c>
      <c r="E112" s="124"/>
      <c r="F112" s="124"/>
      <c r="G112" s="124"/>
      <c r="H112" s="124"/>
      <c r="I112" s="124"/>
      <c r="J112" s="56">
        <v>7.5999999999999998E-2</v>
      </c>
      <c r="K112" s="41">
        <f t="shared" ref="K112:P112" si="43">TRUNC($J$112*K$126,3)</f>
        <v>363.20800000000003</v>
      </c>
      <c r="L112" s="41">
        <f t="shared" si="43"/>
        <v>346.58</v>
      </c>
      <c r="M112" s="41">
        <f t="shared" si="43"/>
        <v>289.911</v>
      </c>
      <c r="N112" s="41">
        <f t="shared" si="43"/>
        <v>273.28300000000002</v>
      </c>
      <c r="O112" s="41">
        <f t="shared" si="43"/>
        <v>310.93099999999998</v>
      </c>
      <c r="P112" s="54">
        <f t="shared" si="43"/>
        <v>529.78300000000002</v>
      </c>
    </row>
    <row r="113" spans="1:16" ht="15" customHeight="1">
      <c r="A113" s="96"/>
      <c r="B113" s="2"/>
      <c r="C113" s="55"/>
      <c r="D113" s="124" t="s">
        <v>95</v>
      </c>
      <c r="E113" s="124"/>
      <c r="F113" s="124"/>
      <c r="G113" s="124"/>
      <c r="H113" s="124"/>
      <c r="I113" s="124"/>
      <c r="J113" s="56"/>
      <c r="K113" s="41">
        <v>0</v>
      </c>
      <c r="L113" s="41">
        <v>0</v>
      </c>
      <c r="M113" s="41">
        <v>0</v>
      </c>
      <c r="N113" s="41">
        <v>0</v>
      </c>
      <c r="O113" s="41">
        <v>0</v>
      </c>
      <c r="P113" s="54">
        <v>0</v>
      </c>
    </row>
    <row r="114" spans="1:16" ht="15" customHeight="1">
      <c r="A114" s="96"/>
      <c r="B114" s="2"/>
      <c r="C114" s="55"/>
      <c r="D114" s="124" t="s">
        <v>96</v>
      </c>
      <c r="E114" s="124"/>
      <c r="F114" s="124"/>
      <c r="G114" s="124"/>
      <c r="H114" s="124"/>
      <c r="I114" s="124"/>
      <c r="J114" s="36">
        <v>0.05</v>
      </c>
      <c r="K114" s="41">
        <f t="shared" ref="K114:P114" si="44">TRUNC($J$114*K$126,3)</f>
        <v>238.953</v>
      </c>
      <c r="L114" s="41">
        <f t="shared" si="44"/>
        <v>228.01300000000001</v>
      </c>
      <c r="M114" s="41">
        <f t="shared" si="44"/>
        <v>190.73099999999999</v>
      </c>
      <c r="N114" s="41">
        <f t="shared" si="44"/>
        <v>179.791</v>
      </c>
      <c r="O114" s="41">
        <f t="shared" si="44"/>
        <v>204.56</v>
      </c>
      <c r="P114" s="54">
        <f t="shared" si="44"/>
        <v>348.541</v>
      </c>
    </row>
    <row r="115" spans="1:16" ht="15" customHeight="1" thickBot="1">
      <c r="A115" s="96"/>
      <c r="B115" s="2"/>
      <c r="C115" s="127" t="s">
        <v>97</v>
      </c>
      <c r="D115" s="128"/>
      <c r="E115" s="128"/>
      <c r="F115" s="128"/>
      <c r="G115" s="128"/>
      <c r="H115" s="128"/>
      <c r="I115" s="128"/>
      <c r="J115" s="49">
        <f>J107+J108+J109</f>
        <v>0.29250000000000004</v>
      </c>
      <c r="K115" s="57">
        <f t="shared" ref="K115:O115" si="45">SUM(K107:K109)</f>
        <v>1230.96</v>
      </c>
      <c r="L115" s="57">
        <f>SUM(L107:L109)</f>
        <v>1174.5999999999999</v>
      </c>
      <c r="M115" s="57">
        <f>SUM(M107:M109)</f>
        <v>982.54000000000008</v>
      </c>
      <c r="N115" s="57">
        <f t="shared" si="45"/>
        <v>926.18999999999994</v>
      </c>
      <c r="O115" s="57">
        <f t="shared" si="45"/>
        <v>1053.78</v>
      </c>
      <c r="P115" s="58">
        <f>SUM(P107:P109)</f>
        <v>1795.5</v>
      </c>
    </row>
    <row r="116" spans="1:16" ht="17.25" thickTop="1" thickBot="1">
      <c r="A116" s="96"/>
      <c r="B116" s="2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</row>
    <row r="117" spans="1:16" ht="15" customHeight="1" thickTop="1">
      <c r="A117" s="96"/>
      <c r="B117" s="2"/>
      <c r="C117" s="130" t="s">
        <v>98</v>
      </c>
      <c r="D117" s="131"/>
      <c r="E117" s="131"/>
      <c r="F117" s="131"/>
      <c r="G117" s="131"/>
      <c r="H117" s="131"/>
      <c r="I117" s="131"/>
      <c r="J117" s="131"/>
      <c r="K117" s="131"/>
      <c r="L117" s="131"/>
      <c r="M117" s="131"/>
      <c r="N117" s="131"/>
      <c r="O117" s="131"/>
      <c r="P117" s="132"/>
    </row>
    <row r="118" spans="1:16" ht="15.75">
      <c r="A118" s="96"/>
      <c r="B118" s="2"/>
      <c r="C118" s="125" t="s">
        <v>99</v>
      </c>
      <c r="D118" s="126"/>
      <c r="E118" s="126"/>
      <c r="F118" s="126"/>
      <c r="G118" s="126"/>
      <c r="H118" s="126"/>
      <c r="I118" s="126"/>
      <c r="J118" s="126"/>
      <c r="K118" s="25" t="s">
        <v>100</v>
      </c>
      <c r="L118" s="25" t="s">
        <v>100</v>
      </c>
      <c r="M118" s="25" t="s">
        <v>100</v>
      </c>
      <c r="N118" s="25" t="s">
        <v>100</v>
      </c>
      <c r="O118" s="25" t="s">
        <v>100</v>
      </c>
      <c r="P118" s="26" t="s">
        <v>100</v>
      </c>
    </row>
    <row r="119" spans="1:16" ht="15.75">
      <c r="A119" s="96"/>
      <c r="B119" s="2"/>
      <c r="C119" s="55" t="s">
        <v>15</v>
      </c>
      <c r="D119" s="124" t="s">
        <v>101</v>
      </c>
      <c r="E119" s="124"/>
      <c r="F119" s="124"/>
      <c r="G119" s="124"/>
      <c r="H119" s="124"/>
      <c r="I119" s="124"/>
      <c r="J119" s="124"/>
      <c r="K119" s="41">
        <f>K28</f>
        <v>1679.43</v>
      </c>
      <c r="L119" s="41">
        <f>L28</f>
        <v>1679.43</v>
      </c>
      <c r="M119" s="41">
        <f>M28</f>
        <v>1153.47</v>
      </c>
      <c r="N119" s="41">
        <f t="shared" ref="N119:O119" si="46">N28</f>
        <v>1153.47</v>
      </c>
      <c r="O119" s="41">
        <f t="shared" si="46"/>
        <v>1357.94</v>
      </c>
      <c r="P119" s="54">
        <f>P28</f>
        <v>2683.63</v>
      </c>
    </row>
    <row r="120" spans="1:16" ht="15.75">
      <c r="A120" s="96"/>
      <c r="B120" s="2"/>
      <c r="C120" s="55" t="s">
        <v>17</v>
      </c>
      <c r="D120" s="124" t="s">
        <v>102</v>
      </c>
      <c r="E120" s="124"/>
      <c r="F120" s="124"/>
      <c r="G120" s="124"/>
      <c r="H120" s="124"/>
      <c r="I120" s="124"/>
      <c r="J120" s="124"/>
      <c r="K120" s="41">
        <f t="shared" ref="K120:O120" si="47">K64</f>
        <v>1610.1299999999999</v>
      </c>
      <c r="L120" s="41">
        <f>L64</f>
        <v>1449.33</v>
      </c>
      <c r="M120" s="41">
        <f>M64</f>
        <v>1433.2600000000002</v>
      </c>
      <c r="N120" s="41">
        <f t="shared" si="47"/>
        <v>1272.46</v>
      </c>
      <c r="O120" s="41">
        <f t="shared" si="47"/>
        <v>1412.28</v>
      </c>
      <c r="P120" s="54">
        <f>P64</f>
        <v>2119.6099999999997</v>
      </c>
    </row>
    <row r="121" spans="1:16" ht="15.75">
      <c r="A121" s="96"/>
      <c r="B121" s="2"/>
      <c r="C121" s="55" t="s">
        <v>18</v>
      </c>
      <c r="D121" s="124" t="s">
        <v>103</v>
      </c>
      <c r="E121" s="124"/>
      <c r="F121" s="124"/>
      <c r="G121" s="124"/>
      <c r="H121" s="124"/>
      <c r="I121" s="124"/>
      <c r="J121" s="124"/>
      <c r="K121" s="41">
        <f t="shared" ref="K121:O121" si="48">K73</f>
        <v>120.35</v>
      </c>
      <c r="L121" s="41">
        <f>L73</f>
        <v>120.35</v>
      </c>
      <c r="M121" s="41">
        <f>M73</f>
        <v>82.65</v>
      </c>
      <c r="N121" s="41">
        <f t="shared" si="48"/>
        <v>82.65</v>
      </c>
      <c r="O121" s="41">
        <f t="shared" si="48"/>
        <v>97.31</v>
      </c>
      <c r="P121" s="54">
        <f>P73</f>
        <v>192.35000000000002</v>
      </c>
    </row>
    <row r="122" spans="1:16" ht="15.75">
      <c r="A122" s="96"/>
      <c r="B122" s="2"/>
      <c r="C122" s="55" t="s">
        <v>19</v>
      </c>
      <c r="D122" s="124" t="s">
        <v>104</v>
      </c>
      <c r="E122" s="124"/>
      <c r="F122" s="124"/>
      <c r="G122" s="124"/>
      <c r="H122" s="124"/>
      <c r="I122" s="124"/>
      <c r="J122" s="124"/>
      <c r="K122" s="41">
        <f t="shared" ref="K122:O122" si="49">K95</f>
        <v>77.22</v>
      </c>
      <c r="L122" s="41">
        <f>L95</f>
        <v>75.59</v>
      </c>
      <c r="M122" s="41">
        <f>M95</f>
        <v>56.39</v>
      </c>
      <c r="N122" s="41">
        <f t="shared" si="49"/>
        <v>54.739999999999995</v>
      </c>
      <c r="O122" s="41">
        <f t="shared" si="49"/>
        <v>63.57</v>
      </c>
      <c r="P122" s="54">
        <f>P95</f>
        <v>118.77</v>
      </c>
    </row>
    <row r="123" spans="1:16" ht="15.75">
      <c r="A123" s="96"/>
      <c r="B123" s="2"/>
      <c r="C123" s="55" t="s">
        <v>20</v>
      </c>
      <c r="D123" s="124" t="s">
        <v>105</v>
      </c>
      <c r="E123" s="124"/>
      <c r="F123" s="124"/>
      <c r="G123" s="124"/>
      <c r="H123" s="124"/>
      <c r="I123" s="124"/>
      <c r="J123" s="124"/>
      <c r="K123" s="41">
        <f t="shared" ref="K123:O123" si="50">K103</f>
        <v>60.976666666666674</v>
      </c>
      <c r="L123" s="41">
        <f>L103</f>
        <v>60.976666666666674</v>
      </c>
      <c r="M123" s="41">
        <f>M103</f>
        <v>106.32499999999999</v>
      </c>
      <c r="N123" s="41">
        <f t="shared" si="50"/>
        <v>106.32499999999999</v>
      </c>
      <c r="O123" s="41">
        <f t="shared" si="50"/>
        <v>106.32499999999999</v>
      </c>
      <c r="P123" s="54">
        <f>P103</f>
        <v>60.976666666666674</v>
      </c>
    </row>
    <row r="124" spans="1:16" ht="15.75">
      <c r="A124" s="96"/>
      <c r="B124" s="2"/>
      <c r="C124" s="125" t="s">
        <v>106</v>
      </c>
      <c r="D124" s="126"/>
      <c r="E124" s="126"/>
      <c r="F124" s="126"/>
      <c r="G124" s="126"/>
      <c r="H124" s="126"/>
      <c r="I124" s="126"/>
      <c r="J124" s="126"/>
      <c r="K124" s="59">
        <f t="shared" ref="K124:P124" si="51">TRUNC(SUM(K119:K123),2)</f>
        <v>3548.1</v>
      </c>
      <c r="L124" s="59">
        <f t="shared" si="51"/>
        <v>3385.67</v>
      </c>
      <c r="M124" s="59">
        <f t="shared" si="51"/>
        <v>2832.09</v>
      </c>
      <c r="N124" s="59">
        <f t="shared" si="51"/>
        <v>2669.64</v>
      </c>
      <c r="O124" s="59">
        <f t="shared" si="51"/>
        <v>3037.42</v>
      </c>
      <c r="P124" s="60">
        <f t="shared" si="51"/>
        <v>5175.33</v>
      </c>
    </row>
    <row r="125" spans="1:16" ht="15.75">
      <c r="A125" s="96"/>
      <c r="B125" s="2"/>
      <c r="C125" s="55" t="s">
        <v>22</v>
      </c>
      <c r="D125" s="124" t="s">
        <v>107</v>
      </c>
      <c r="E125" s="124"/>
      <c r="F125" s="124"/>
      <c r="G125" s="124"/>
      <c r="H125" s="124"/>
      <c r="I125" s="124"/>
      <c r="J125" s="124"/>
      <c r="K125" s="41">
        <f t="shared" ref="K125:O125" si="52">K115</f>
        <v>1230.96</v>
      </c>
      <c r="L125" s="41">
        <f>L115</f>
        <v>1174.5999999999999</v>
      </c>
      <c r="M125" s="41">
        <f>M115</f>
        <v>982.54000000000008</v>
      </c>
      <c r="N125" s="41">
        <f t="shared" si="52"/>
        <v>926.18999999999994</v>
      </c>
      <c r="O125" s="41">
        <f t="shared" si="52"/>
        <v>1053.78</v>
      </c>
      <c r="P125" s="54">
        <f>P115</f>
        <v>1795.5</v>
      </c>
    </row>
    <row r="126" spans="1:16" ht="16.5" thickBot="1">
      <c r="A126" s="96"/>
      <c r="B126" s="2"/>
      <c r="C126" s="127" t="s">
        <v>108</v>
      </c>
      <c r="D126" s="128"/>
      <c r="E126" s="128"/>
      <c r="F126" s="128"/>
      <c r="G126" s="128"/>
      <c r="H126" s="128"/>
      <c r="I126" s="128"/>
      <c r="J126" s="128"/>
      <c r="K126" s="57">
        <f t="shared" ref="K126:P126" si="53">TRUNC((K$124+K$107+K$108)/((1-$J$109)/1),2)</f>
        <v>4779.0600000000004</v>
      </c>
      <c r="L126" s="57">
        <f t="shared" si="53"/>
        <v>4560.2700000000004</v>
      </c>
      <c r="M126" s="57">
        <f t="shared" si="53"/>
        <v>3814.63</v>
      </c>
      <c r="N126" s="57">
        <f t="shared" si="53"/>
        <v>3595.83</v>
      </c>
      <c r="O126" s="57">
        <f t="shared" si="53"/>
        <v>4091.2</v>
      </c>
      <c r="P126" s="58">
        <f t="shared" si="53"/>
        <v>6970.83</v>
      </c>
    </row>
    <row r="127" spans="1:16" ht="15.75" thickTop="1">
      <c r="A127" s="96"/>
      <c r="B127" s="2"/>
      <c r="C127" s="7"/>
      <c r="D127" s="7"/>
      <c r="E127" s="7"/>
      <c r="F127" s="7"/>
      <c r="G127" s="7"/>
      <c r="H127" s="7"/>
      <c r="I127" s="7"/>
      <c r="J127" s="7"/>
      <c r="K127" s="12"/>
      <c r="L127" s="12"/>
      <c r="M127" s="12"/>
      <c r="N127" s="2"/>
      <c r="O127" s="13"/>
      <c r="P127" s="13"/>
    </row>
    <row r="128" spans="1:16">
      <c r="A128" s="96"/>
      <c r="B128" s="2"/>
      <c r="C128" s="7"/>
      <c r="D128" s="7"/>
      <c r="E128" s="7"/>
      <c r="F128" s="7"/>
      <c r="G128" s="7"/>
      <c r="H128" s="7"/>
      <c r="I128" s="7"/>
      <c r="J128" s="7"/>
      <c r="K128" s="12"/>
      <c r="L128" s="12"/>
      <c r="M128" s="12"/>
      <c r="N128" s="2"/>
      <c r="O128" s="13"/>
      <c r="P128" s="13"/>
    </row>
    <row r="129" spans="1:14">
      <c r="A129" s="96"/>
      <c r="B129" s="2"/>
      <c r="K129" s="9"/>
      <c r="L129" s="9"/>
      <c r="M129" s="9"/>
      <c r="N129" s="9"/>
    </row>
    <row r="130" spans="1:14">
      <c r="A130" s="96"/>
      <c r="E130" s="6"/>
      <c r="K130" s="8"/>
      <c r="L130" s="8"/>
      <c r="M130" s="8"/>
    </row>
    <row r="131" spans="1:14">
      <c r="A131" s="96"/>
      <c r="K131" s="11"/>
      <c r="L131" s="11"/>
      <c r="M131" s="11"/>
    </row>
    <row r="132" spans="1:14">
      <c r="G132" s="6"/>
    </row>
    <row r="133" spans="1:14">
      <c r="H133" s="10"/>
    </row>
  </sheetData>
  <mergeCells count="124">
    <mergeCell ref="C11:P11"/>
    <mergeCell ref="C12:D12"/>
    <mergeCell ref="E12:G12"/>
    <mergeCell ref="H12:I12"/>
    <mergeCell ref="J12:K12"/>
    <mergeCell ref="L12:P12"/>
    <mergeCell ref="C20:P20"/>
    <mergeCell ref="C21:P21"/>
    <mergeCell ref="C22:I22"/>
    <mergeCell ref="D23:I23"/>
    <mergeCell ref="D24:I24"/>
    <mergeCell ref="D25:I25"/>
    <mergeCell ref="D14:J14"/>
    <mergeCell ref="D15:J15"/>
    <mergeCell ref="D16:J16"/>
    <mergeCell ref="D17:J17"/>
    <mergeCell ref="D18:J18"/>
    <mergeCell ref="D19:J19"/>
    <mergeCell ref="C31:P31"/>
    <mergeCell ref="C32:I32"/>
    <mergeCell ref="D33:I33"/>
    <mergeCell ref="D34:I34"/>
    <mergeCell ref="C35:I35"/>
    <mergeCell ref="C36:P36"/>
    <mergeCell ref="D26:I26"/>
    <mergeCell ref="D27:I27"/>
    <mergeCell ref="C28:J28"/>
    <mergeCell ref="C30:P30"/>
    <mergeCell ref="D43:I43"/>
    <mergeCell ref="D44:I44"/>
    <mergeCell ref="D45:I45"/>
    <mergeCell ref="D46:I46"/>
    <mergeCell ref="C47:I47"/>
    <mergeCell ref="C48:P48"/>
    <mergeCell ref="C37:P37"/>
    <mergeCell ref="C38:I38"/>
    <mergeCell ref="D39:I39"/>
    <mergeCell ref="D40:I40"/>
    <mergeCell ref="D41:I41"/>
    <mergeCell ref="D42:I42"/>
    <mergeCell ref="D56:J56"/>
    <mergeCell ref="C57:J57"/>
    <mergeCell ref="C58:P58"/>
    <mergeCell ref="C59:P59"/>
    <mergeCell ref="C60:J60"/>
    <mergeCell ref="D61:J61"/>
    <mergeCell ref="C49:P49"/>
    <mergeCell ref="C50:J50"/>
    <mergeCell ref="D52:H52"/>
    <mergeCell ref="D53:J53"/>
    <mergeCell ref="D54:J54"/>
    <mergeCell ref="D55:J55"/>
    <mergeCell ref="D51:H51"/>
    <mergeCell ref="D69:I69"/>
    <mergeCell ref="D70:I70"/>
    <mergeCell ref="D71:I71"/>
    <mergeCell ref="D72:I72"/>
    <mergeCell ref="C73:I73"/>
    <mergeCell ref="C74:P74"/>
    <mergeCell ref="D62:J62"/>
    <mergeCell ref="D63:J63"/>
    <mergeCell ref="C64:J64"/>
    <mergeCell ref="C66:P66"/>
    <mergeCell ref="C67:I67"/>
    <mergeCell ref="D68:I68"/>
    <mergeCell ref="D82:I82"/>
    <mergeCell ref="D83:I83"/>
    <mergeCell ref="C84:I84"/>
    <mergeCell ref="C85:P85"/>
    <mergeCell ref="C86:P86"/>
    <mergeCell ref="C75:P75"/>
    <mergeCell ref="C76:P76"/>
    <mergeCell ref="C77:I77"/>
    <mergeCell ref="D78:I78"/>
    <mergeCell ref="D79:I79"/>
    <mergeCell ref="D80:I80"/>
    <mergeCell ref="C126:J126"/>
    <mergeCell ref="C29:P29"/>
    <mergeCell ref="C117:P117"/>
    <mergeCell ref="C118:J118"/>
    <mergeCell ref="D119:J119"/>
    <mergeCell ref="D120:J120"/>
    <mergeCell ref="D121:J121"/>
    <mergeCell ref="D122:J122"/>
    <mergeCell ref="D111:I111"/>
    <mergeCell ref="D112:I112"/>
    <mergeCell ref="D113:I113"/>
    <mergeCell ref="D114:I114"/>
    <mergeCell ref="C115:I115"/>
    <mergeCell ref="C116:P116"/>
    <mergeCell ref="C105:P105"/>
    <mergeCell ref="C106:I106"/>
    <mergeCell ref="D107:I107"/>
    <mergeCell ref="D108:I108"/>
    <mergeCell ref="D109:I109"/>
    <mergeCell ref="D110:I110"/>
    <mergeCell ref="D99:J99"/>
    <mergeCell ref="D100:J100"/>
    <mergeCell ref="D101:J101"/>
    <mergeCell ref="D102:J102"/>
    <mergeCell ref="C10:P10"/>
    <mergeCell ref="C4:P4"/>
    <mergeCell ref="C5:P5"/>
    <mergeCell ref="C6:P6"/>
    <mergeCell ref="C7:P7"/>
    <mergeCell ref="C8:P8"/>
    <mergeCell ref="D123:J123"/>
    <mergeCell ref="C124:J124"/>
    <mergeCell ref="D125:J125"/>
    <mergeCell ref="C103:J103"/>
    <mergeCell ref="C104:P104"/>
    <mergeCell ref="D93:J93"/>
    <mergeCell ref="D94:J94"/>
    <mergeCell ref="C95:J95"/>
    <mergeCell ref="C96:P96"/>
    <mergeCell ref="C97:P97"/>
    <mergeCell ref="C98:J98"/>
    <mergeCell ref="C87:I87"/>
    <mergeCell ref="D88:I88"/>
    <mergeCell ref="C89:I89"/>
    <mergeCell ref="C90:P90"/>
    <mergeCell ref="C91:P91"/>
    <mergeCell ref="C92:J92"/>
    <mergeCell ref="D81:I8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M52"/>
  <sheetViews>
    <sheetView showGridLines="0" view="pageBreakPreview" topLeftCell="A37" zoomScale="70" zoomScaleNormal="70" zoomScaleSheetLayoutView="70" workbookViewId="0">
      <selection activeCell="C6" sqref="C6:H6"/>
    </sheetView>
  </sheetViews>
  <sheetFormatPr defaultRowHeight="15"/>
  <cols>
    <col min="1" max="1" width="5" customWidth="1"/>
    <col min="2" max="2" width="3.7109375" customWidth="1"/>
    <col min="3" max="3" width="35.5703125" customWidth="1"/>
    <col min="4" max="4" width="45.85546875" customWidth="1"/>
    <col min="5" max="5" width="20" bestFit="1" customWidth="1"/>
    <col min="6" max="6" width="12" bestFit="1" customWidth="1"/>
    <col min="7" max="7" width="21.7109375" bestFit="1" customWidth="1"/>
    <col min="8" max="8" width="19.5703125" bestFit="1" customWidth="1"/>
    <col min="9" max="9" width="4" customWidth="1"/>
  </cols>
  <sheetData>
    <row r="3" spans="3:13" ht="50.25" customHeight="1"/>
    <row r="4" spans="3:13" ht="18.75">
      <c r="C4" s="123" t="s">
        <v>139</v>
      </c>
      <c r="D4" s="123"/>
      <c r="E4" s="123"/>
      <c r="F4" s="123"/>
      <c r="G4" s="123"/>
      <c r="H4" s="123"/>
      <c r="I4" s="68"/>
      <c r="J4" s="68"/>
      <c r="K4" s="68"/>
      <c r="L4" s="68"/>
      <c r="M4" s="68"/>
    </row>
    <row r="5" spans="3:13" ht="18.75">
      <c r="C5" s="123" t="s">
        <v>140</v>
      </c>
      <c r="D5" s="123"/>
      <c r="E5" s="123"/>
      <c r="F5" s="123"/>
      <c r="G5" s="123"/>
      <c r="H5" s="123"/>
      <c r="I5" s="68"/>
      <c r="J5" s="68"/>
      <c r="K5" s="68"/>
      <c r="L5" s="68"/>
      <c r="M5" s="68"/>
    </row>
    <row r="6" spans="3:13" ht="18.75">
      <c r="C6" s="123" t="s">
        <v>141</v>
      </c>
      <c r="D6" s="123"/>
      <c r="E6" s="123"/>
      <c r="F6" s="123"/>
      <c r="G6" s="123"/>
      <c r="H6" s="123"/>
      <c r="I6" s="68"/>
      <c r="J6" s="68"/>
      <c r="K6" s="68"/>
      <c r="L6" s="68"/>
      <c r="M6" s="68"/>
    </row>
    <row r="7" spans="3:13" ht="18.75">
      <c r="C7" s="123" t="s">
        <v>142</v>
      </c>
      <c r="D7" s="123"/>
      <c r="E7" s="123"/>
      <c r="F7" s="123"/>
      <c r="G7" s="123"/>
      <c r="H7" s="123"/>
      <c r="I7" s="68"/>
      <c r="J7" s="68"/>
      <c r="K7" s="68"/>
      <c r="L7" s="68"/>
      <c r="M7" s="68"/>
    </row>
    <row r="8" spans="3:13" ht="18.75">
      <c r="C8" s="123" t="s">
        <v>143</v>
      </c>
      <c r="D8" s="123"/>
      <c r="E8" s="123"/>
      <c r="F8" s="123"/>
      <c r="G8" s="123"/>
      <c r="H8" s="123"/>
      <c r="I8" s="68"/>
      <c r="J8" s="68"/>
      <c r="K8" s="68"/>
      <c r="L8" s="68"/>
      <c r="M8" s="68"/>
    </row>
    <row r="9" spans="3:13" ht="15.75" thickBot="1">
      <c r="C9" s="199"/>
      <c r="D9" s="199"/>
      <c r="E9" s="199"/>
      <c r="F9" s="199"/>
      <c r="G9" s="199"/>
      <c r="H9" s="199"/>
    </row>
    <row r="10" spans="3:13" ht="24" thickTop="1">
      <c r="C10" s="200" t="s">
        <v>163</v>
      </c>
      <c r="D10" s="201"/>
      <c r="E10" s="201"/>
      <c r="F10" s="201"/>
      <c r="G10" s="201"/>
      <c r="H10" s="202"/>
    </row>
    <row r="11" spans="3:13" ht="23.25">
      <c r="C11" s="196" t="s">
        <v>153</v>
      </c>
      <c r="D11" s="197"/>
      <c r="E11" s="197"/>
      <c r="F11" s="197"/>
      <c r="G11" s="197"/>
      <c r="H11" s="198"/>
    </row>
    <row r="12" spans="3:13" ht="23.25">
      <c r="C12" s="203" t="s">
        <v>109</v>
      </c>
      <c r="D12" s="191" t="s">
        <v>110</v>
      </c>
      <c r="E12" s="192" t="s">
        <v>155</v>
      </c>
      <c r="F12" s="191" t="s">
        <v>111</v>
      </c>
      <c r="G12" s="185" t="s">
        <v>112</v>
      </c>
      <c r="H12" s="186"/>
    </row>
    <row r="13" spans="3:13" ht="27.75" customHeight="1">
      <c r="C13" s="203"/>
      <c r="D13" s="191"/>
      <c r="E13" s="192"/>
      <c r="F13" s="191"/>
      <c r="G13" s="83" t="s">
        <v>113</v>
      </c>
      <c r="H13" s="84" t="s">
        <v>114</v>
      </c>
    </row>
    <row r="14" spans="3:13" ht="43.5" customHeight="1">
      <c r="C14" s="98" t="s">
        <v>146</v>
      </c>
      <c r="D14" s="99" t="s">
        <v>147</v>
      </c>
      <c r="E14" s="100">
        <v>3</v>
      </c>
      <c r="F14" s="100" t="s">
        <v>115</v>
      </c>
      <c r="G14" s="101">
        <v>97.33</v>
      </c>
      <c r="H14" s="102">
        <f>G14*E14</f>
        <v>291.99</v>
      </c>
    </row>
    <row r="15" spans="3:13" ht="42.75" customHeight="1">
      <c r="C15" s="98" t="s">
        <v>148</v>
      </c>
      <c r="D15" s="99" t="s">
        <v>149</v>
      </c>
      <c r="E15" s="100">
        <v>3</v>
      </c>
      <c r="F15" s="100" t="s">
        <v>115</v>
      </c>
      <c r="G15" s="101">
        <v>49.5</v>
      </c>
      <c r="H15" s="102">
        <f>G15*E15</f>
        <v>148.5</v>
      </c>
    </row>
    <row r="16" spans="3:13" ht="30.75" customHeight="1">
      <c r="C16" s="103" t="s">
        <v>150</v>
      </c>
      <c r="D16" s="104" t="s">
        <v>180</v>
      </c>
      <c r="E16" s="100">
        <v>1</v>
      </c>
      <c r="F16" s="100" t="s">
        <v>116</v>
      </c>
      <c r="G16" s="101">
        <v>58.29</v>
      </c>
      <c r="H16" s="102">
        <f>G16*E16</f>
        <v>58.29</v>
      </c>
    </row>
    <row r="17" spans="3:8">
      <c r="C17" s="105" t="s">
        <v>151</v>
      </c>
      <c r="D17" s="99" t="s">
        <v>152</v>
      </c>
      <c r="E17" s="100">
        <v>1</v>
      </c>
      <c r="F17" s="100" t="s">
        <v>117</v>
      </c>
      <c r="G17" s="101">
        <v>5.42</v>
      </c>
      <c r="H17" s="102">
        <f t="shared" ref="H17" si="0">G17*E17</f>
        <v>5.42</v>
      </c>
    </row>
    <row r="18" spans="3:8" ht="15.75">
      <c r="C18" s="179" t="s">
        <v>118</v>
      </c>
      <c r="D18" s="180"/>
      <c r="E18" s="180"/>
      <c r="F18" s="180"/>
      <c r="G18" s="180"/>
      <c r="H18" s="80">
        <f>SUM(H14:H17)</f>
        <v>504.20000000000005</v>
      </c>
    </row>
    <row r="19" spans="3:8" ht="16.5" thickBot="1">
      <c r="C19" s="181" t="s">
        <v>119</v>
      </c>
      <c r="D19" s="182"/>
      <c r="E19" s="182"/>
      <c r="F19" s="182"/>
      <c r="G19" s="182"/>
      <c r="H19" s="81">
        <f>H18/12</f>
        <v>42.016666666666673</v>
      </c>
    </row>
    <row r="20" spans="3:8" ht="17.25" thickTop="1" thickBot="1">
      <c r="C20" s="88"/>
      <c r="D20" s="89"/>
      <c r="E20" s="89"/>
      <c r="F20" s="89"/>
      <c r="G20" s="89"/>
      <c r="H20" s="90"/>
    </row>
    <row r="21" spans="3:8" ht="24" thickTop="1">
      <c r="C21" s="187" t="s">
        <v>162</v>
      </c>
      <c r="D21" s="188"/>
      <c r="E21" s="188"/>
      <c r="F21" s="188"/>
      <c r="G21" s="188"/>
      <c r="H21" s="189"/>
    </row>
    <row r="22" spans="3:8" ht="23.25">
      <c r="C22" s="203" t="s">
        <v>109</v>
      </c>
      <c r="D22" s="191" t="s">
        <v>110</v>
      </c>
      <c r="E22" s="192" t="s">
        <v>155</v>
      </c>
      <c r="F22" s="191" t="s">
        <v>111</v>
      </c>
      <c r="G22" s="185" t="s">
        <v>112</v>
      </c>
      <c r="H22" s="186"/>
    </row>
    <row r="23" spans="3:8" ht="24.75" customHeight="1">
      <c r="C23" s="203"/>
      <c r="D23" s="191"/>
      <c r="E23" s="192"/>
      <c r="F23" s="191"/>
      <c r="G23" s="83" t="s">
        <v>113</v>
      </c>
      <c r="H23" s="84" t="s">
        <v>114</v>
      </c>
    </row>
    <row r="24" spans="3:8" ht="43.5" customHeight="1">
      <c r="C24" s="98" t="s">
        <v>146</v>
      </c>
      <c r="D24" s="99" t="s">
        <v>147</v>
      </c>
      <c r="E24" s="100">
        <v>3</v>
      </c>
      <c r="F24" s="100" t="s">
        <v>115</v>
      </c>
      <c r="G24" s="101">
        <v>97.33</v>
      </c>
      <c r="H24" s="102">
        <f>G24*E24</f>
        <v>291.99</v>
      </c>
    </row>
    <row r="25" spans="3:8" ht="42.75" customHeight="1">
      <c r="C25" s="98" t="s">
        <v>148</v>
      </c>
      <c r="D25" s="99" t="s">
        <v>149</v>
      </c>
      <c r="E25" s="100">
        <v>3</v>
      </c>
      <c r="F25" s="100" t="s">
        <v>115</v>
      </c>
      <c r="G25" s="101">
        <v>49.5</v>
      </c>
      <c r="H25" s="102">
        <f t="shared" ref="H25:H27" si="1">G25*E25</f>
        <v>148.5</v>
      </c>
    </row>
    <row r="26" spans="3:8" ht="28.5" customHeight="1">
      <c r="C26" s="115" t="s">
        <v>150</v>
      </c>
      <c r="D26" s="104" t="s">
        <v>180</v>
      </c>
      <c r="E26" s="100">
        <v>1</v>
      </c>
      <c r="F26" s="100" t="s">
        <v>116</v>
      </c>
      <c r="G26" s="101">
        <v>58.29</v>
      </c>
      <c r="H26" s="102">
        <f t="shared" si="1"/>
        <v>58.29</v>
      </c>
    </row>
    <row r="27" spans="3:8">
      <c r="C27" s="105" t="s">
        <v>151</v>
      </c>
      <c r="D27" s="99" t="s">
        <v>179</v>
      </c>
      <c r="E27" s="100">
        <v>1</v>
      </c>
      <c r="F27" s="100" t="s">
        <v>117</v>
      </c>
      <c r="G27" s="101">
        <v>5.42</v>
      </c>
      <c r="H27" s="102">
        <f t="shared" si="1"/>
        <v>5.42</v>
      </c>
    </row>
    <row r="28" spans="3:8" ht="15.75">
      <c r="C28" s="179" t="s">
        <v>118</v>
      </c>
      <c r="D28" s="180"/>
      <c r="E28" s="180"/>
      <c r="F28" s="180"/>
      <c r="G28" s="180"/>
      <c r="H28" s="80">
        <f>SUM(H24:H27)</f>
        <v>504.20000000000005</v>
      </c>
    </row>
    <row r="29" spans="3:8" ht="16.5" thickBot="1">
      <c r="C29" s="181" t="s">
        <v>119</v>
      </c>
      <c r="D29" s="182"/>
      <c r="E29" s="182"/>
      <c r="F29" s="182"/>
      <c r="G29" s="182"/>
      <c r="H29" s="81">
        <f>H28/12</f>
        <v>42.016666666666673</v>
      </c>
    </row>
    <row r="30" spans="3:8" ht="15.75" thickTop="1"/>
    <row r="32" spans="3:8" ht="15.75" thickBot="1"/>
    <row r="33" spans="3:12" ht="24" thickTop="1">
      <c r="C33" s="193" t="s">
        <v>156</v>
      </c>
      <c r="D33" s="194"/>
      <c r="E33" s="194"/>
      <c r="F33" s="194"/>
      <c r="G33" s="194"/>
      <c r="H33" s="195"/>
    </row>
    <row r="34" spans="3:12" ht="23.25">
      <c r="C34" s="196" t="s">
        <v>153</v>
      </c>
      <c r="D34" s="197"/>
      <c r="E34" s="197"/>
      <c r="F34" s="197"/>
      <c r="G34" s="197"/>
      <c r="H34" s="198"/>
    </row>
    <row r="35" spans="3:12" ht="23.25" customHeight="1">
      <c r="C35" s="190" t="s">
        <v>109</v>
      </c>
      <c r="D35" s="191" t="s">
        <v>110</v>
      </c>
      <c r="E35" s="183" t="s">
        <v>155</v>
      </c>
      <c r="F35" s="183" t="s">
        <v>123</v>
      </c>
      <c r="G35" s="185" t="s">
        <v>112</v>
      </c>
      <c r="H35" s="186"/>
    </row>
    <row r="36" spans="3:12" ht="30.75" customHeight="1">
      <c r="C36" s="190"/>
      <c r="D36" s="191"/>
      <c r="E36" s="184"/>
      <c r="F36" s="184"/>
      <c r="G36" s="91" t="s">
        <v>113</v>
      </c>
      <c r="H36" s="93" t="s">
        <v>161</v>
      </c>
      <c r="L36" s="94"/>
    </row>
    <row r="37" spans="3:12" ht="48" customHeight="1">
      <c r="C37" s="106" t="s">
        <v>157</v>
      </c>
      <c r="D37" s="107" t="s">
        <v>164</v>
      </c>
      <c r="E37" s="108">
        <v>48</v>
      </c>
      <c r="F37" s="109" t="s">
        <v>154</v>
      </c>
      <c r="G37" s="110">
        <v>8.11</v>
      </c>
      <c r="H37" s="111">
        <f>G37*E37</f>
        <v>389.28</v>
      </c>
    </row>
    <row r="38" spans="3:12" ht="45">
      <c r="C38" s="106" t="s">
        <v>158</v>
      </c>
      <c r="D38" s="104" t="s">
        <v>177</v>
      </c>
      <c r="E38" s="112">
        <v>4</v>
      </c>
      <c r="F38" s="109" t="s">
        <v>154</v>
      </c>
      <c r="G38" s="110">
        <v>61.7</v>
      </c>
      <c r="H38" s="111">
        <f>G38*E38</f>
        <v>246.8</v>
      </c>
    </row>
    <row r="39" spans="3:12" ht="27" customHeight="1">
      <c r="C39" s="106" t="s">
        <v>159</v>
      </c>
      <c r="D39" s="107" t="s">
        <v>176</v>
      </c>
      <c r="E39" s="112">
        <v>2</v>
      </c>
      <c r="F39" s="109" t="s">
        <v>154</v>
      </c>
      <c r="G39" s="110">
        <v>61.01</v>
      </c>
      <c r="H39" s="111">
        <f>G39*E39</f>
        <v>122.02</v>
      </c>
    </row>
    <row r="40" spans="3:12">
      <c r="C40" s="106" t="s">
        <v>160</v>
      </c>
      <c r="D40" s="107" t="s">
        <v>175</v>
      </c>
      <c r="E40" s="112">
        <v>4</v>
      </c>
      <c r="F40" s="109" t="s">
        <v>154</v>
      </c>
      <c r="G40" s="110">
        <v>3.4</v>
      </c>
      <c r="H40" s="111">
        <f>G40*E40</f>
        <v>13.6</v>
      </c>
    </row>
    <row r="41" spans="3:12" ht="15.75">
      <c r="C41" s="179" t="s">
        <v>118</v>
      </c>
      <c r="D41" s="180"/>
      <c r="E41" s="180"/>
      <c r="F41" s="180"/>
      <c r="G41" s="180"/>
      <c r="H41" s="80">
        <f>SUM(H37:H40)</f>
        <v>771.69999999999993</v>
      </c>
    </row>
    <row r="42" spans="3:12" ht="16.5" thickBot="1">
      <c r="C42" s="181" t="s">
        <v>119</v>
      </c>
      <c r="D42" s="182"/>
      <c r="E42" s="182"/>
      <c r="F42" s="182"/>
      <c r="G42" s="182"/>
      <c r="H42" s="81">
        <f>H41/12</f>
        <v>64.308333333333323</v>
      </c>
    </row>
    <row r="43" spans="3:12" ht="16.5" thickTop="1" thickBot="1">
      <c r="C43" s="85"/>
      <c r="D43" s="86"/>
      <c r="E43" s="86"/>
      <c r="F43" s="86"/>
      <c r="G43" s="86"/>
      <c r="H43" s="87"/>
    </row>
    <row r="44" spans="3:12" ht="24" thickTop="1">
      <c r="C44" s="187" t="s">
        <v>162</v>
      </c>
      <c r="D44" s="188"/>
      <c r="E44" s="188"/>
      <c r="F44" s="188"/>
      <c r="G44" s="188"/>
      <c r="H44" s="189"/>
    </row>
    <row r="45" spans="3:12" ht="23.25" customHeight="1">
      <c r="C45" s="190" t="s">
        <v>109</v>
      </c>
      <c r="D45" s="191" t="s">
        <v>110</v>
      </c>
      <c r="E45" s="183" t="s">
        <v>155</v>
      </c>
      <c r="F45" s="183" t="s">
        <v>123</v>
      </c>
      <c r="G45" s="185" t="s">
        <v>112</v>
      </c>
      <c r="H45" s="186"/>
    </row>
    <row r="46" spans="3:12" ht="28.5" customHeight="1">
      <c r="C46" s="190"/>
      <c r="D46" s="191"/>
      <c r="E46" s="184"/>
      <c r="F46" s="184"/>
      <c r="G46" s="91" t="s">
        <v>113</v>
      </c>
      <c r="H46" s="95" t="s">
        <v>161</v>
      </c>
    </row>
    <row r="47" spans="3:12" ht="41.25" customHeight="1">
      <c r="C47" s="106" t="s">
        <v>157</v>
      </c>
      <c r="D47" s="107" t="s">
        <v>164</v>
      </c>
      <c r="E47" s="113">
        <v>12</v>
      </c>
      <c r="F47" s="114" t="s">
        <v>154</v>
      </c>
      <c r="G47" s="110">
        <v>8.11</v>
      </c>
      <c r="H47" s="111">
        <f>G47*E47</f>
        <v>97.32</v>
      </c>
    </row>
    <row r="48" spans="3:12" ht="45">
      <c r="C48" s="106" t="s">
        <v>158</v>
      </c>
      <c r="D48" s="104" t="s">
        <v>178</v>
      </c>
      <c r="E48" s="113">
        <v>2</v>
      </c>
      <c r="F48" s="114" t="s">
        <v>154</v>
      </c>
      <c r="G48" s="110">
        <v>61.7</v>
      </c>
      <c r="H48" s="111">
        <f>G48*E48</f>
        <v>123.4</v>
      </c>
    </row>
    <row r="49" spans="3:8">
      <c r="C49" s="106" t="s">
        <v>160</v>
      </c>
      <c r="D49" s="107" t="s">
        <v>175</v>
      </c>
      <c r="E49" s="113">
        <v>2</v>
      </c>
      <c r="F49" s="114" t="s">
        <v>154</v>
      </c>
      <c r="G49" s="110">
        <v>3.4</v>
      </c>
      <c r="H49" s="111">
        <f>G49*E49</f>
        <v>6.8</v>
      </c>
    </row>
    <row r="50" spans="3:8" ht="15.75">
      <c r="C50" s="179" t="s">
        <v>118</v>
      </c>
      <c r="D50" s="180"/>
      <c r="E50" s="180"/>
      <c r="F50" s="180"/>
      <c r="G50" s="180"/>
      <c r="H50" s="80">
        <f>SUM(H47:H49)</f>
        <v>227.52</v>
      </c>
    </row>
    <row r="51" spans="3:8" ht="16.5" thickBot="1">
      <c r="C51" s="181" t="s">
        <v>119</v>
      </c>
      <c r="D51" s="182"/>
      <c r="E51" s="182"/>
      <c r="F51" s="182"/>
      <c r="G51" s="182"/>
      <c r="H51" s="81">
        <f>H50/12</f>
        <v>18.96</v>
      </c>
    </row>
    <row r="52" spans="3:8" ht="15.75" thickTop="1"/>
  </sheetData>
  <mergeCells count="40">
    <mergeCell ref="C33:H33"/>
    <mergeCell ref="C35:C36"/>
    <mergeCell ref="D35:D36"/>
    <mergeCell ref="C34:H34"/>
    <mergeCell ref="C9:H9"/>
    <mergeCell ref="C10:H10"/>
    <mergeCell ref="C12:C13"/>
    <mergeCell ref="D12:D13"/>
    <mergeCell ref="E12:E13"/>
    <mergeCell ref="F12:F13"/>
    <mergeCell ref="C28:G28"/>
    <mergeCell ref="C29:G29"/>
    <mergeCell ref="C11:H11"/>
    <mergeCell ref="C21:H21"/>
    <mergeCell ref="C22:C23"/>
    <mergeCell ref="D22:D23"/>
    <mergeCell ref="C4:H4"/>
    <mergeCell ref="C5:H5"/>
    <mergeCell ref="C6:H6"/>
    <mergeCell ref="C7:H7"/>
    <mergeCell ref="C8:H8"/>
    <mergeCell ref="E22:E23"/>
    <mergeCell ref="F22:F23"/>
    <mergeCell ref="G22:H22"/>
    <mergeCell ref="G12:H12"/>
    <mergeCell ref="C18:G18"/>
    <mergeCell ref="C19:G19"/>
    <mergeCell ref="C50:G50"/>
    <mergeCell ref="C51:G51"/>
    <mergeCell ref="E35:E36"/>
    <mergeCell ref="F35:F36"/>
    <mergeCell ref="G35:H35"/>
    <mergeCell ref="E45:E46"/>
    <mergeCell ref="F45:F46"/>
    <mergeCell ref="G45:H45"/>
    <mergeCell ref="C41:G41"/>
    <mergeCell ref="C42:G42"/>
    <mergeCell ref="C44:H44"/>
    <mergeCell ref="C45:C46"/>
    <mergeCell ref="D45:D4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6"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N30"/>
  <sheetViews>
    <sheetView showGridLines="0" tabSelected="1" view="pageBreakPreview" zoomScale="80" zoomScaleNormal="80" zoomScaleSheetLayoutView="80" workbookViewId="0">
      <selection activeCell="H13" sqref="H13"/>
    </sheetView>
  </sheetViews>
  <sheetFormatPr defaultRowHeight="15"/>
  <cols>
    <col min="1" max="1" width="4.140625" customWidth="1"/>
    <col min="2" max="3" width="6.85546875" bestFit="1" customWidth="1"/>
    <col min="4" max="4" width="68.7109375" customWidth="1"/>
    <col min="5" max="5" width="10.140625" bestFit="1" customWidth="1"/>
    <col min="6" max="6" width="11.5703125" customWidth="1"/>
    <col min="7" max="7" width="14.85546875" customWidth="1"/>
    <col min="8" max="8" width="17" customWidth="1"/>
    <col min="9" max="9" width="17.7109375" bestFit="1" customWidth="1"/>
    <col min="10" max="10" width="18.7109375" bestFit="1" customWidth="1"/>
    <col min="11" max="11" width="24.85546875" bestFit="1" customWidth="1"/>
    <col min="12" max="12" width="27.28515625" bestFit="1" customWidth="1"/>
    <col min="13" max="13" width="4.140625" customWidth="1"/>
  </cols>
  <sheetData>
    <row r="6" spans="2:14" ht="18.75">
      <c r="C6" s="123" t="s">
        <v>139</v>
      </c>
      <c r="D6" s="123"/>
      <c r="E6" s="123"/>
      <c r="F6" s="123"/>
      <c r="G6" s="123"/>
      <c r="H6" s="123"/>
      <c r="I6" s="123"/>
      <c r="J6" s="123"/>
      <c r="K6" s="123"/>
      <c r="L6" s="123"/>
    </row>
    <row r="7" spans="2:14" ht="18.75">
      <c r="C7" s="123" t="s">
        <v>140</v>
      </c>
      <c r="D7" s="123"/>
      <c r="E7" s="123"/>
      <c r="F7" s="123"/>
      <c r="G7" s="123"/>
      <c r="H7" s="123"/>
      <c r="I7" s="123"/>
      <c r="J7" s="123"/>
      <c r="K7" s="123"/>
      <c r="L7" s="123"/>
    </row>
    <row r="8" spans="2:14" ht="18.75">
      <c r="C8" s="123" t="s">
        <v>141</v>
      </c>
      <c r="D8" s="123"/>
      <c r="E8" s="123"/>
      <c r="F8" s="123"/>
      <c r="G8" s="123"/>
      <c r="H8" s="123"/>
      <c r="I8" s="123"/>
      <c r="J8" s="123"/>
      <c r="K8" s="123"/>
      <c r="L8" s="123"/>
    </row>
    <row r="9" spans="2:14" ht="18.75">
      <c r="C9" s="123" t="s">
        <v>142</v>
      </c>
      <c r="D9" s="123"/>
      <c r="E9" s="123"/>
      <c r="F9" s="123"/>
      <c r="G9" s="123"/>
      <c r="H9" s="123"/>
      <c r="I9" s="123"/>
      <c r="J9" s="123"/>
      <c r="K9" s="123"/>
      <c r="L9" s="123"/>
    </row>
    <row r="10" spans="2:14" ht="18.75">
      <c r="C10" s="123" t="s">
        <v>143</v>
      </c>
      <c r="D10" s="123"/>
      <c r="E10" s="123"/>
      <c r="F10" s="123"/>
      <c r="G10" s="123"/>
      <c r="H10" s="123"/>
      <c r="I10" s="123"/>
      <c r="J10" s="123"/>
      <c r="K10" s="123"/>
      <c r="L10" s="123"/>
    </row>
    <row r="11" spans="2:14" ht="15.75" thickBot="1"/>
    <row r="12" spans="2:14" ht="18.75" thickTop="1">
      <c r="B12" s="204" t="s">
        <v>120</v>
      </c>
      <c r="C12" s="205"/>
      <c r="D12" s="205"/>
      <c r="E12" s="205"/>
      <c r="F12" s="205"/>
      <c r="G12" s="205"/>
      <c r="H12" s="205"/>
      <c r="I12" s="205"/>
      <c r="J12" s="205"/>
      <c r="K12" s="205"/>
      <c r="L12" s="206"/>
    </row>
    <row r="13" spans="2:14" ht="60">
      <c r="B13" s="69" t="s">
        <v>187</v>
      </c>
      <c r="C13" s="118" t="s">
        <v>121</v>
      </c>
      <c r="D13" s="70" t="s">
        <v>122</v>
      </c>
      <c r="E13" s="70" t="s">
        <v>123</v>
      </c>
      <c r="F13" s="71" t="s">
        <v>124</v>
      </c>
      <c r="G13" s="71" t="s">
        <v>125</v>
      </c>
      <c r="H13" s="71" t="s">
        <v>126</v>
      </c>
      <c r="I13" s="71" t="s">
        <v>127</v>
      </c>
      <c r="J13" s="71" t="s">
        <v>128</v>
      </c>
      <c r="K13" s="71" t="s">
        <v>129</v>
      </c>
      <c r="L13" s="72" t="s">
        <v>130</v>
      </c>
      <c r="N13" s="3"/>
    </row>
    <row r="14" spans="2:14" ht="30">
      <c r="B14" s="207">
        <v>2</v>
      </c>
      <c r="C14" s="119">
        <v>1</v>
      </c>
      <c r="D14" s="117" t="s">
        <v>186</v>
      </c>
      <c r="E14" s="61" t="s">
        <v>131</v>
      </c>
      <c r="F14" s="62">
        <v>8</v>
      </c>
      <c r="G14" s="61">
        <v>1</v>
      </c>
      <c r="H14" s="61">
        <f>F14*G14</f>
        <v>8</v>
      </c>
      <c r="I14" s="63">
        <f>'Equipe Técnica Grupo 02'!K126</f>
        <v>4779.0600000000004</v>
      </c>
      <c r="J14" s="63">
        <f>G14*I14</f>
        <v>4779.0600000000004</v>
      </c>
      <c r="K14" s="63">
        <f>J14*F14</f>
        <v>38232.480000000003</v>
      </c>
      <c r="L14" s="64">
        <f>K14*12</f>
        <v>458789.76</v>
      </c>
      <c r="N14" s="3"/>
    </row>
    <row r="15" spans="2:14" ht="30">
      <c r="B15" s="208"/>
      <c r="C15" s="119">
        <v>2</v>
      </c>
      <c r="D15" s="117" t="s">
        <v>181</v>
      </c>
      <c r="E15" s="61" t="s">
        <v>131</v>
      </c>
      <c r="F15" s="62">
        <v>2</v>
      </c>
      <c r="G15" s="61">
        <v>2</v>
      </c>
      <c r="H15" s="61">
        <f t="shared" ref="H15:H19" si="0">F15*G15</f>
        <v>4</v>
      </c>
      <c r="I15" s="63">
        <f>'Equipe Técnica Grupo 02'!L126</f>
        <v>4560.2700000000004</v>
      </c>
      <c r="J15" s="63">
        <f t="shared" ref="J15:J19" si="1">G15*I15</f>
        <v>9120.5400000000009</v>
      </c>
      <c r="K15" s="63">
        <f t="shared" ref="K15:K19" si="2">J15*F15</f>
        <v>18241.080000000002</v>
      </c>
      <c r="L15" s="64">
        <f t="shared" ref="L15:L19" si="3">K15*12</f>
        <v>218892.96000000002</v>
      </c>
      <c r="N15" s="3"/>
    </row>
    <row r="16" spans="2:14" ht="30">
      <c r="B16" s="208"/>
      <c r="C16" s="119">
        <v>3</v>
      </c>
      <c r="D16" s="117" t="s">
        <v>182</v>
      </c>
      <c r="E16" s="61" t="s">
        <v>131</v>
      </c>
      <c r="F16" s="62">
        <v>30</v>
      </c>
      <c r="G16" s="61">
        <v>1</v>
      </c>
      <c r="H16" s="61">
        <f t="shared" si="0"/>
        <v>30</v>
      </c>
      <c r="I16" s="63">
        <f>'Equipe Técnica Grupo 02'!M126</f>
        <v>3814.63</v>
      </c>
      <c r="J16" s="63">
        <f t="shared" si="1"/>
        <v>3814.63</v>
      </c>
      <c r="K16" s="63">
        <f t="shared" si="2"/>
        <v>114438.90000000001</v>
      </c>
      <c r="L16" s="64">
        <f t="shared" si="3"/>
        <v>1373266.8</v>
      </c>
      <c r="N16" s="3"/>
    </row>
    <row r="17" spans="2:14" ht="30">
      <c r="B17" s="208"/>
      <c r="C17" s="119">
        <v>4</v>
      </c>
      <c r="D17" s="117" t="s">
        <v>183</v>
      </c>
      <c r="E17" s="61" t="s">
        <v>131</v>
      </c>
      <c r="F17" s="62">
        <v>6</v>
      </c>
      <c r="G17" s="61">
        <v>2</v>
      </c>
      <c r="H17" s="61">
        <f t="shared" si="0"/>
        <v>12</v>
      </c>
      <c r="I17" s="63">
        <f>'Equipe Técnica Grupo 02'!N126</f>
        <v>3595.83</v>
      </c>
      <c r="J17" s="63">
        <f t="shared" si="1"/>
        <v>7191.66</v>
      </c>
      <c r="K17" s="63">
        <f t="shared" si="2"/>
        <v>43149.96</v>
      </c>
      <c r="L17" s="64">
        <f t="shared" si="3"/>
        <v>517799.52</v>
      </c>
      <c r="N17" s="3"/>
    </row>
    <row r="18" spans="2:14" ht="30">
      <c r="B18" s="208"/>
      <c r="C18" s="119">
        <v>5</v>
      </c>
      <c r="D18" s="117" t="s">
        <v>184</v>
      </c>
      <c r="E18" s="61" t="s">
        <v>131</v>
      </c>
      <c r="F18" s="62">
        <v>4</v>
      </c>
      <c r="G18" s="61">
        <v>2</v>
      </c>
      <c r="H18" s="61">
        <f t="shared" si="0"/>
        <v>8</v>
      </c>
      <c r="I18" s="63">
        <f>'Equipe Técnica Grupo 02'!O126</f>
        <v>4091.2</v>
      </c>
      <c r="J18" s="63">
        <f t="shared" si="1"/>
        <v>8182.4</v>
      </c>
      <c r="K18" s="63">
        <f t="shared" si="2"/>
        <v>32729.599999999999</v>
      </c>
      <c r="L18" s="64">
        <f t="shared" si="3"/>
        <v>392755.19999999995</v>
      </c>
      <c r="N18" s="4"/>
    </row>
    <row r="19" spans="2:14" ht="30">
      <c r="B19" s="208"/>
      <c r="C19" s="119">
        <v>6</v>
      </c>
      <c r="D19" s="117" t="s">
        <v>185</v>
      </c>
      <c r="E19" s="61" t="s">
        <v>131</v>
      </c>
      <c r="F19" s="62">
        <v>2</v>
      </c>
      <c r="G19" s="62">
        <v>2</v>
      </c>
      <c r="H19" s="61">
        <f t="shared" si="0"/>
        <v>4</v>
      </c>
      <c r="I19" s="63">
        <f>'Equipe Técnica Grupo 02'!P126</f>
        <v>6970.83</v>
      </c>
      <c r="J19" s="63">
        <f t="shared" si="1"/>
        <v>13941.66</v>
      </c>
      <c r="K19" s="63">
        <f t="shared" si="2"/>
        <v>27883.32</v>
      </c>
      <c r="L19" s="64">
        <f t="shared" si="3"/>
        <v>334599.83999999997</v>
      </c>
      <c r="N19" s="4"/>
    </row>
    <row r="20" spans="2:14" ht="15.75" thickBot="1">
      <c r="B20" s="209"/>
      <c r="C20" s="210" t="s">
        <v>132</v>
      </c>
      <c r="D20" s="211"/>
      <c r="E20" s="211"/>
      <c r="F20" s="116">
        <f>SUM(F14:F19)</f>
        <v>52</v>
      </c>
      <c r="G20" s="116"/>
      <c r="H20" s="116">
        <f>SUM(H14:H19)</f>
        <v>66</v>
      </c>
      <c r="I20" s="116"/>
      <c r="J20" s="65"/>
      <c r="K20" s="66">
        <f>SUM(K14:K19)</f>
        <v>274675.34000000003</v>
      </c>
      <c r="L20" s="67">
        <f>SUM(L14:L19)</f>
        <v>3296104.08</v>
      </c>
      <c r="N20" s="4"/>
    </row>
    <row r="21" spans="2:14" ht="15.75" thickTop="1">
      <c r="C21" s="5"/>
      <c r="D21" s="5"/>
      <c r="E21" s="5"/>
      <c r="F21" s="5"/>
      <c r="G21" s="5"/>
      <c r="H21" s="5"/>
      <c r="I21" s="5"/>
      <c r="J21" s="5"/>
      <c r="K21" s="5"/>
      <c r="L21" s="5"/>
      <c r="N21" s="4"/>
    </row>
    <row r="22" spans="2:14">
      <c r="N22" s="4"/>
    </row>
    <row r="23" spans="2:14">
      <c r="N23" s="4"/>
    </row>
    <row r="24" spans="2:14">
      <c r="N24" s="4"/>
    </row>
    <row r="25" spans="2:14">
      <c r="M25" s="14"/>
      <c r="N25" s="14"/>
    </row>
    <row r="26" spans="2:14">
      <c r="M26" s="5"/>
      <c r="N26" s="5"/>
    </row>
    <row r="29" spans="2:14">
      <c r="I29" s="82"/>
    </row>
    <row r="30" spans="2:14" ht="51.75" customHeight="1"/>
  </sheetData>
  <mergeCells count="8">
    <mergeCell ref="B12:L12"/>
    <mergeCell ref="B14:B20"/>
    <mergeCell ref="C20:E20"/>
    <mergeCell ref="C6:L6"/>
    <mergeCell ref="C7:L7"/>
    <mergeCell ref="C8:L8"/>
    <mergeCell ref="C9:L9"/>
    <mergeCell ref="C10:L10"/>
  </mergeCells>
  <printOptions horizontalCentered="1"/>
  <pageMargins left="0.51181102362204722" right="0.51181102362204722" top="0.78740157480314965" bottom="0.78740157480314965" header="0.31496062992125984" footer="0.31496062992125984"/>
  <pageSetup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Equipe Técnica Grupo 02</vt:lpstr>
      <vt:lpstr>Uniformes e Equipamentos</vt:lpstr>
      <vt:lpstr>Resumo dos Postos</vt:lpstr>
      <vt:lpstr>'Equipe Técnica Grupo 02'!Area_de_impressao</vt:lpstr>
      <vt:lpstr>'Resumo dos Postos'!Area_de_impressao</vt:lpstr>
      <vt:lpstr>'Uniformes e Equipamentos'!Area_de_impressao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Rosiane Batista Dantas</dc:creator>
  <cp:keywords/>
  <dc:description/>
  <cp:lastModifiedBy>Luiz Campelo De Araujo</cp:lastModifiedBy>
  <cp:revision/>
  <cp:lastPrinted>2022-04-20T19:27:37Z</cp:lastPrinted>
  <dcterms:created xsi:type="dcterms:W3CDTF">2014-12-03T18:22:08Z</dcterms:created>
  <dcterms:modified xsi:type="dcterms:W3CDTF">2022-05-02T17:34:46Z</dcterms:modified>
  <cp:category/>
  <cp:contentStatus/>
</cp:coreProperties>
</file>