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rka\arquivos\Licitacao\CPL-22\PREGÃO 5974.21 (PE SIDEC 026) - SERV ADM\EDITAL (ALTERAÇÃO)\"/>
    </mc:Choice>
  </mc:AlternateContent>
  <xr:revisionPtr revIDLastSave="0" documentId="8_{8A37AAB2-588B-4B94-8365-21B61B606644}" xr6:coauthVersionLast="47" xr6:coauthVersionMax="47" xr10:uidLastSave="{00000000-0000-0000-0000-000000000000}"/>
  <bookViews>
    <workbookView xWindow="-120" yWindow="-120" windowWidth="29040" windowHeight="15840" tabRatio="685" xr2:uid="{00000000-000D-0000-FFFF-FFFF00000000}"/>
  </bookViews>
  <sheets>
    <sheet name="Equipe Técnica Grupo 01" sheetId="71" r:id="rId1"/>
    <sheet name="Materiais de Consumo" sheetId="77" r:id="rId2"/>
    <sheet name="Uniformes e Equipamentos" sheetId="72" r:id="rId3"/>
    <sheet name="Resumo dos Postos" sheetId="74" r:id="rId4"/>
  </sheets>
  <definedNames>
    <definedName name="_xlnm.Print_Area" localSheetId="0">'Equipe Técnica Grupo 01'!$B$2:$AD$129</definedName>
    <definedName name="_xlnm.Print_Area" localSheetId="1">'Materiais de Consumo'!$C$3:$L$57</definedName>
    <definedName name="_xlnm.Print_Area" localSheetId="3">'Resumo dos Postos'!$C$3:$N$33</definedName>
    <definedName name="_xlnm.Print_Area" localSheetId="2">'Uniformes e Equipamentos'!$C$3:$J$55</definedName>
    <definedName name="Excel_BuiltIn_Print_Titles" localSheetId="0">#REF!</definedName>
    <definedName name="Excel_BuiltIn_Print_Titles">#REF!</definedName>
    <definedName name="Samuel" localSheetId="0">#REF!</definedName>
    <definedName name="Samuel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72" l="1"/>
  <c r="I18" i="72"/>
  <c r="K56" i="77"/>
  <c r="K38" i="77"/>
  <c r="K16" i="77"/>
  <c r="AC52" i="71"/>
  <c r="AB52" i="71"/>
  <c r="I31" i="74"/>
  <c r="G31" i="74"/>
  <c r="I30" i="74"/>
  <c r="AC53" i="71"/>
  <c r="AC102" i="71"/>
  <c r="AC56" i="71"/>
  <c r="AC55" i="71"/>
  <c r="AC24" i="71"/>
  <c r="K55" i="77"/>
  <c r="AC58" i="71" l="1"/>
  <c r="AC64" i="71" s="1"/>
  <c r="AC29" i="71"/>
  <c r="K79" i="71"/>
  <c r="AC69" i="71" l="1"/>
  <c r="AC71" i="71"/>
  <c r="AC72" i="71" s="1"/>
  <c r="AC35" i="71"/>
  <c r="AC73" i="71"/>
  <c r="AC34" i="71"/>
  <c r="AC84" i="71"/>
  <c r="AC120" i="71"/>
  <c r="AB79" i="71"/>
  <c r="AA79" i="71"/>
  <c r="Z79" i="71"/>
  <c r="Y79" i="71"/>
  <c r="X79" i="71"/>
  <c r="W79" i="71"/>
  <c r="V79" i="71"/>
  <c r="U79" i="71"/>
  <c r="T79" i="71"/>
  <c r="S79" i="71"/>
  <c r="R79" i="71"/>
  <c r="Q79" i="71"/>
  <c r="P79" i="71"/>
  <c r="O79" i="71"/>
  <c r="N79" i="71"/>
  <c r="M79" i="71"/>
  <c r="L79" i="71"/>
  <c r="K44" i="77"/>
  <c r="K45" i="77"/>
  <c r="K46" i="77"/>
  <c r="K47" i="77"/>
  <c r="K48" i="77"/>
  <c r="K49" i="77"/>
  <c r="K50" i="77"/>
  <c r="K51" i="77"/>
  <c r="K52" i="77"/>
  <c r="K53" i="77"/>
  <c r="K54" i="77"/>
  <c r="K43" i="77"/>
  <c r="AA53" i="71"/>
  <c r="S52" i="71"/>
  <c r="S56" i="71"/>
  <c r="U52" i="71"/>
  <c r="T52" i="71"/>
  <c r="O26" i="71"/>
  <c r="O27" i="71"/>
  <c r="AA52" i="71"/>
  <c r="R52" i="71"/>
  <c r="Q52" i="71"/>
  <c r="O52" i="71"/>
  <c r="N52" i="71"/>
  <c r="L52" i="71"/>
  <c r="M52" i="71"/>
  <c r="P52" i="71"/>
  <c r="X52" i="71"/>
  <c r="Y52" i="71"/>
  <c r="Z52" i="71"/>
  <c r="K52" i="71"/>
  <c r="Z102" i="71"/>
  <c r="W100" i="71"/>
  <c r="X100" i="71"/>
  <c r="V100" i="71"/>
  <c r="AB53" i="71"/>
  <c r="I29" i="74"/>
  <c r="I28" i="74"/>
  <c r="Z53" i="71"/>
  <c r="Y53" i="71"/>
  <c r="AB102" i="71"/>
  <c r="AB56" i="71"/>
  <c r="AB55" i="71"/>
  <c r="AB24" i="71"/>
  <c r="AA102" i="71"/>
  <c r="AA56" i="71"/>
  <c r="AA55" i="71"/>
  <c r="AA24" i="71"/>
  <c r="AA29" i="71" s="1"/>
  <c r="K17" i="77"/>
  <c r="K18" i="77"/>
  <c r="K19" i="77"/>
  <c r="K20" i="77"/>
  <c r="K21" i="77"/>
  <c r="K22" i="77"/>
  <c r="K23" i="77"/>
  <c r="K24" i="77"/>
  <c r="K25" i="77"/>
  <c r="K26" i="77"/>
  <c r="K27" i="77"/>
  <c r="K28" i="77"/>
  <c r="K29" i="77"/>
  <c r="K30" i="77"/>
  <c r="K31" i="77"/>
  <c r="K32" i="77"/>
  <c r="K33" i="77"/>
  <c r="K34" i="77"/>
  <c r="K35" i="77"/>
  <c r="K36" i="77"/>
  <c r="K37" i="77"/>
  <c r="I53" i="72"/>
  <c r="I52" i="72"/>
  <c r="AC36" i="71" l="1"/>
  <c r="AC70" i="71"/>
  <c r="AC74" i="71" s="1"/>
  <c r="AC122" i="71" s="1"/>
  <c r="O29" i="71"/>
  <c r="AB26" i="71"/>
  <c r="AB29" i="71" s="1"/>
  <c r="AB35" i="71" s="1"/>
  <c r="AB27" i="71"/>
  <c r="AA58" i="71"/>
  <c r="AA64" i="71" s="1"/>
  <c r="AB58" i="71"/>
  <c r="AB64" i="71" s="1"/>
  <c r="AA120" i="71"/>
  <c r="AA73" i="71"/>
  <c r="AA35" i="71"/>
  <c r="H27" i="72"/>
  <c r="H26" i="72"/>
  <c r="H25" i="72"/>
  <c r="H24" i="72"/>
  <c r="J79" i="71"/>
  <c r="K56" i="71"/>
  <c r="Z55" i="71"/>
  <c r="Y55" i="71"/>
  <c r="X55" i="71"/>
  <c r="U55" i="71"/>
  <c r="T55" i="71"/>
  <c r="S55" i="71"/>
  <c r="R55" i="71"/>
  <c r="Q55" i="71"/>
  <c r="P55" i="71"/>
  <c r="O55" i="71"/>
  <c r="N55" i="71"/>
  <c r="M55" i="71"/>
  <c r="L55" i="71"/>
  <c r="K55" i="71"/>
  <c r="L53" i="71"/>
  <c r="K53" i="71"/>
  <c r="M53" i="71"/>
  <c r="N53" i="71"/>
  <c r="P53" i="71"/>
  <c r="O53" i="71"/>
  <c r="Q53" i="71"/>
  <c r="R53" i="71"/>
  <c r="S53" i="71"/>
  <c r="T53" i="71"/>
  <c r="U53" i="71"/>
  <c r="V53" i="71"/>
  <c r="W53" i="71"/>
  <c r="X53" i="71"/>
  <c r="Z58" i="71"/>
  <c r="P24" i="71"/>
  <c r="P29" i="71" s="1"/>
  <c r="P56" i="71"/>
  <c r="I51" i="72"/>
  <c r="I50" i="72"/>
  <c r="I49" i="72"/>
  <c r="I48" i="72"/>
  <c r="I39" i="72"/>
  <c r="I38" i="72"/>
  <c r="I37" i="72"/>
  <c r="I36" i="72"/>
  <c r="I25" i="74"/>
  <c r="Z56" i="71"/>
  <c r="Z24" i="71"/>
  <c r="X102" i="71" l="1"/>
  <c r="X101" i="71"/>
  <c r="AC62" i="71"/>
  <c r="AC45" i="71"/>
  <c r="AC40" i="71"/>
  <c r="AC41" i="71"/>
  <c r="AC46" i="71"/>
  <c r="AC44" i="71"/>
  <c r="AC47" i="71"/>
  <c r="AC43" i="71"/>
  <c r="AC42" i="71"/>
  <c r="P58" i="71"/>
  <c r="AB73" i="71"/>
  <c r="AB120" i="71"/>
  <c r="P35" i="71"/>
  <c r="P120" i="71"/>
  <c r="P73" i="71"/>
  <c r="I40" i="72"/>
  <c r="I41" i="72" s="1"/>
  <c r="Z100" i="71" s="1"/>
  <c r="Z64" i="71"/>
  <c r="Z29" i="71"/>
  <c r="I13" i="74"/>
  <c r="I14" i="74"/>
  <c r="L56" i="71"/>
  <c r="M56" i="71"/>
  <c r="M24" i="71"/>
  <c r="M58" i="71" s="1"/>
  <c r="L24" i="71"/>
  <c r="L58" i="71" s="1"/>
  <c r="L64" i="71" s="1"/>
  <c r="AC48" i="71" l="1"/>
  <c r="Z35" i="71"/>
  <c r="P64" i="71"/>
  <c r="M64" i="71"/>
  <c r="Z104" i="71"/>
  <c r="Z124" i="71" s="1"/>
  <c r="Z120" i="71"/>
  <c r="Z73" i="71"/>
  <c r="M29" i="71"/>
  <c r="M120" i="71" s="1"/>
  <c r="L29" i="71"/>
  <c r="L35" i="71" s="1"/>
  <c r="AC63" i="71" l="1"/>
  <c r="AC65" i="71" s="1"/>
  <c r="AC79" i="71"/>
  <c r="M73" i="71"/>
  <c r="M35" i="71"/>
  <c r="L73" i="71"/>
  <c r="L120" i="71"/>
  <c r="I26" i="72"/>
  <c r="I27" i="72"/>
  <c r="I28" i="72"/>
  <c r="I29" i="72"/>
  <c r="I25" i="72"/>
  <c r="I24" i="72"/>
  <c r="AC121" i="71" l="1"/>
  <c r="AC81" i="71"/>
  <c r="AC83" i="71"/>
  <c r="AC82" i="71"/>
  <c r="AC80" i="71"/>
  <c r="I30" i="72"/>
  <c r="U24" i="71"/>
  <c r="T24" i="71"/>
  <c r="I24" i="74"/>
  <c r="I26" i="74"/>
  <c r="I27" i="74"/>
  <c r="Y56" i="71"/>
  <c r="Y24" i="71"/>
  <c r="X56" i="71"/>
  <c r="X24" i="71"/>
  <c r="X58" i="71" s="1"/>
  <c r="W24" i="71"/>
  <c r="R56" i="71"/>
  <c r="T56" i="71"/>
  <c r="U56" i="71"/>
  <c r="Q24" i="71"/>
  <c r="I23" i="74"/>
  <c r="I22" i="74"/>
  <c r="I21" i="74"/>
  <c r="O56" i="71"/>
  <c r="O24" i="71"/>
  <c r="N56" i="71"/>
  <c r="N24" i="71"/>
  <c r="R24" i="71"/>
  <c r="K24" i="71"/>
  <c r="I14" i="72"/>
  <c r="I17" i="74"/>
  <c r="Q56" i="71"/>
  <c r="I17" i="72"/>
  <c r="I16" i="72"/>
  <c r="I15" i="72"/>
  <c r="I20" i="74"/>
  <c r="I19" i="74"/>
  <c r="I18" i="74"/>
  <c r="I16" i="74"/>
  <c r="I15" i="74"/>
  <c r="I12" i="74"/>
  <c r="V24" i="71"/>
  <c r="S24" i="71"/>
  <c r="J82" i="71"/>
  <c r="J110" i="71"/>
  <c r="J116" i="71" s="1"/>
  <c r="J83" i="71"/>
  <c r="J81" i="71"/>
  <c r="J80" i="71"/>
  <c r="J71" i="71"/>
  <c r="J69" i="71"/>
  <c r="J42" i="71"/>
  <c r="J34" i="71"/>
  <c r="AB34" i="71" s="1"/>
  <c r="AB36" i="71" s="1"/>
  <c r="AC85" i="71" l="1"/>
  <c r="AC94" i="71" s="1"/>
  <c r="W26" i="71"/>
  <c r="W27" i="71"/>
  <c r="U26" i="71"/>
  <c r="U27" i="71"/>
  <c r="AA69" i="71"/>
  <c r="AA70" i="71" s="1"/>
  <c r="AB69" i="71"/>
  <c r="AB70" i="71" s="1"/>
  <c r="AB47" i="71"/>
  <c r="AB46" i="71"/>
  <c r="AB43" i="71"/>
  <c r="AB45" i="71"/>
  <c r="AB41" i="71"/>
  <c r="AB62" i="71"/>
  <c r="AB44" i="71"/>
  <c r="AB40" i="71"/>
  <c r="AB42" i="71"/>
  <c r="AA71" i="71"/>
  <c r="AB71" i="71"/>
  <c r="T26" i="71"/>
  <c r="M34" i="71"/>
  <c r="M36" i="71" s="1"/>
  <c r="M42" i="71" s="1"/>
  <c r="Z34" i="71"/>
  <c r="Z36" i="71" s="1"/>
  <c r="Z40" i="71" s="1"/>
  <c r="L34" i="71"/>
  <c r="L36" i="71" s="1"/>
  <c r="AA34" i="71"/>
  <c r="AA36" i="71" s="1"/>
  <c r="AA42" i="71" s="1"/>
  <c r="P34" i="71"/>
  <c r="P36" i="71" s="1"/>
  <c r="P42" i="71" s="1"/>
  <c r="R26" i="71"/>
  <c r="Y29" i="71"/>
  <c r="Y34" i="71" s="1"/>
  <c r="Y58" i="71"/>
  <c r="Y64" i="71" s="1"/>
  <c r="P71" i="71"/>
  <c r="P69" i="71"/>
  <c r="Z71" i="71"/>
  <c r="M71" i="71"/>
  <c r="L71" i="71"/>
  <c r="T27" i="71"/>
  <c r="T29" i="71" s="1"/>
  <c r="J36" i="71"/>
  <c r="J48" i="71"/>
  <c r="J72" i="71" s="1"/>
  <c r="J70" i="71"/>
  <c r="Z69" i="71"/>
  <c r="L69" i="71"/>
  <c r="L70" i="71" s="1"/>
  <c r="M69" i="71"/>
  <c r="M70" i="71" s="1"/>
  <c r="R27" i="71"/>
  <c r="N58" i="71"/>
  <c r="Q58" i="71"/>
  <c r="S58" i="71"/>
  <c r="K29" i="71"/>
  <c r="K58" i="71"/>
  <c r="K64" i="71" s="1"/>
  <c r="X64" i="71"/>
  <c r="N29" i="71"/>
  <c r="N69" i="71" s="1"/>
  <c r="N70" i="71" s="1"/>
  <c r="J85" i="71"/>
  <c r="J89" i="71" s="1"/>
  <c r="AC89" i="71" s="1"/>
  <c r="AC90" i="71" s="1"/>
  <c r="AC95" i="71" s="1"/>
  <c r="V29" i="71"/>
  <c r="V34" i="71" s="1"/>
  <c r="Y71" i="71"/>
  <c r="Y73" i="71"/>
  <c r="Y69" i="71"/>
  <c r="Y120" i="71"/>
  <c r="AC96" i="71" l="1"/>
  <c r="AC123" i="71" s="1"/>
  <c r="I19" i="72"/>
  <c r="AC100" i="71" s="1"/>
  <c r="AC104" i="71" s="1"/>
  <c r="AC124" i="71" s="1"/>
  <c r="AB48" i="71"/>
  <c r="AB63" i="71" s="1"/>
  <c r="AB65" i="71" s="1"/>
  <c r="J74" i="71"/>
  <c r="AB72" i="71"/>
  <c r="AB74" i="71" s="1"/>
  <c r="AB122" i="71" s="1"/>
  <c r="AA89" i="71"/>
  <c r="AA90" i="71" s="1"/>
  <c r="AA95" i="71" s="1"/>
  <c r="AB89" i="71"/>
  <c r="AB90" i="71" s="1"/>
  <c r="AB95" i="71" s="1"/>
  <c r="T35" i="71"/>
  <c r="T36" i="71" s="1"/>
  <c r="T46" i="71" s="1"/>
  <c r="T34" i="71"/>
  <c r="R58" i="71"/>
  <c r="R64" i="71" s="1"/>
  <c r="N34" i="71"/>
  <c r="T58" i="71"/>
  <c r="V58" i="71"/>
  <c r="V64" i="71" s="1"/>
  <c r="V35" i="71"/>
  <c r="K69" i="71"/>
  <c r="K35" i="71"/>
  <c r="K34" i="71"/>
  <c r="L46" i="71"/>
  <c r="L62" i="71"/>
  <c r="Y35" i="71"/>
  <c r="Y36" i="71" s="1"/>
  <c r="Y42" i="71" s="1"/>
  <c r="W58" i="71"/>
  <c r="W64" i="71" s="1"/>
  <c r="O58" i="71"/>
  <c r="O64" i="71" s="1"/>
  <c r="AA40" i="71"/>
  <c r="AA43" i="71"/>
  <c r="AA45" i="71"/>
  <c r="AA62" i="71"/>
  <c r="AA41" i="71"/>
  <c r="AA47" i="71"/>
  <c r="AA44" i="71"/>
  <c r="AA46" i="71"/>
  <c r="U58" i="71"/>
  <c r="U64" i="71" s="1"/>
  <c r="AA72" i="71"/>
  <c r="AA74" i="71" s="1"/>
  <c r="AA122" i="71" s="1"/>
  <c r="M41" i="71"/>
  <c r="M40" i="71"/>
  <c r="M43" i="71"/>
  <c r="T64" i="71"/>
  <c r="L42" i="71"/>
  <c r="P62" i="71"/>
  <c r="P43" i="71"/>
  <c r="P40" i="71"/>
  <c r="P46" i="71"/>
  <c r="P41" i="71"/>
  <c r="P44" i="71"/>
  <c r="P45" i="71"/>
  <c r="P47" i="71"/>
  <c r="W29" i="71"/>
  <c r="P72" i="71"/>
  <c r="P70" i="71"/>
  <c r="P74" i="71" s="1"/>
  <c r="P122" i="71" s="1"/>
  <c r="P89" i="71"/>
  <c r="P90" i="71" s="1"/>
  <c r="P95" i="71" s="1"/>
  <c r="N64" i="71"/>
  <c r="M47" i="71"/>
  <c r="M46" i="71"/>
  <c r="L45" i="71"/>
  <c r="L47" i="71"/>
  <c r="L44" i="71"/>
  <c r="M44" i="71"/>
  <c r="J90" i="71"/>
  <c r="Z89" i="71"/>
  <c r="Z90" i="71" s="1"/>
  <c r="Z95" i="71" s="1"/>
  <c r="M89" i="71"/>
  <c r="M90" i="71" s="1"/>
  <c r="M95" i="71" s="1"/>
  <c r="L89" i="71"/>
  <c r="L90" i="71" s="1"/>
  <c r="L95" i="71" s="1"/>
  <c r="Q64" i="71"/>
  <c r="L43" i="71"/>
  <c r="L40" i="71"/>
  <c r="Z62" i="71"/>
  <c r="Z46" i="71"/>
  <c r="Z43" i="71"/>
  <c r="Z44" i="71"/>
  <c r="Z47" i="71"/>
  <c r="Z41" i="71"/>
  <c r="Z45" i="71"/>
  <c r="L72" i="71"/>
  <c r="L74" i="71" s="1"/>
  <c r="M45" i="71"/>
  <c r="Z70" i="71"/>
  <c r="M72" i="71"/>
  <c r="M74" i="71" s="1"/>
  <c r="M122" i="71" s="1"/>
  <c r="Y72" i="71"/>
  <c r="L41" i="71"/>
  <c r="M62" i="71"/>
  <c r="Z72" i="71"/>
  <c r="R29" i="71"/>
  <c r="Z42" i="71"/>
  <c r="S64" i="71"/>
  <c r="K73" i="71"/>
  <c r="K120" i="71"/>
  <c r="K36" i="71"/>
  <c r="K62" i="71" s="1"/>
  <c r="S29" i="71"/>
  <c r="K84" i="71"/>
  <c r="P84" i="71" s="1"/>
  <c r="K71" i="71"/>
  <c r="K72" i="71" s="1"/>
  <c r="W104" i="71"/>
  <c r="W124" i="71" s="1"/>
  <c r="V104" i="71"/>
  <c r="V124" i="71" s="1"/>
  <c r="X104" i="71"/>
  <c r="X124" i="71" s="1"/>
  <c r="U29" i="71"/>
  <c r="K89" i="71"/>
  <c r="K90" i="71" s="1"/>
  <c r="K95" i="71" s="1"/>
  <c r="N35" i="71"/>
  <c r="V89" i="71"/>
  <c r="V90" i="71" s="1"/>
  <c r="V95" i="71" s="1"/>
  <c r="N89" i="71"/>
  <c r="N90" i="71" s="1"/>
  <c r="N95" i="71" s="1"/>
  <c r="Y89" i="71"/>
  <c r="Y90" i="71" s="1"/>
  <c r="Y95" i="71" s="1"/>
  <c r="N71" i="71"/>
  <c r="N72" i="71" s="1"/>
  <c r="N73" i="71"/>
  <c r="N120" i="71"/>
  <c r="Q29" i="71"/>
  <c r="Q34" i="71" s="1"/>
  <c r="T89" i="71"/>
  <c r="T90" i="71" s="1"/>
  <c r="T95" i="71" s="1"/>
  <c r="T71" i="71"/>
  <c r="T72" i="71" s="1"/>
  <c r="T73" i="71"/>
  <c r="T120" i="71"/>
  <c r="V73" i="71"/>
  <c r="T69" i="71"/>
  <c r="T70" i="71" s="1"/>
  <c r="X29" i="71"/>
  <c r="K70" i="71"/>
  <c r="V120" i="71"/>
  <c r="V69" i="71"/>
  <c r="V70" i="71" s="1"/>
  <c r="V71" i="71"/>
  <c r="V72" i="71" s="1"/>
  <c r="Y70" i="71"/>
  <c r="Y74" i="71" s="1"/>
  <c r="Y122" i="71" s="1"/>
  <c r="AC125" i="71" l="1"/>
  <c r="AC108" i="71" s="1"/>
  <c r="AC109" i="71" s="1"/>
  <c r="AB100" i="71"/>
  <c r="AB104" i="71" s="1"/>
  <c r="AB124" i="71" s="1"/>
  <c r="S100" i="71"/>
  <c r="S104" i="71" s="1"/>
  <c r="S124" i="71" s="1"/>
  <c r="Y100" i="71"/>
  <c r="Y104" i="71" s="1"/>
  <c r="Y124" i="71" s="1"/>
  <c r="T100" i="71"/>
  <c r="T104" i="71" s="1"/>
  <c r="T124" i="71" s="1"/>
  <c r="AA100" i="71"/>
  <c r="AA104" i="71" s="1"/>
  <c r="AA124" i="71" s="1"/>
  <c r="U100" i="71"/>
  <c r="U104" i="71" s="1"/>
  <c r="U124" i="71" s="1"/>
  <c r="N100" i="71"/>
  <c r="N104" i="71" s="1"/>
  <c r="N124" i="71" s="1"/>
  <c r="M100" i="71"/>
  <c r="M104" i="71" s="1"/>
  <c r="M124" i="71" s="1"/>
  <c r="O100" i="71"/>
  <c r="O104" i="71" s="1"/>
  <c r="O124" i="71" s="1"/>
  <c r="L100" i="71"/>
  <c r="L104" i="71" s="1"/>
  <c r="L124" i="71" s="1"/>
  <c r="P100" i="71"/>
  <c r="P104" i="71" s="1"/>
  <c r="P124" i="71" s="1"/>
  <c r="K100" i="71"/>
  <c r="K104" i="71" s="1"/>
  <c r="K124" i="71" s="1"/>
  <c r="R100" i="71"/>
  <c r="R104" i="71" s="1"/>
  <c r="R124" i="71" s="1"/>
  <c r="Q100" i="71"/>
  <c r="Q104" i="71" s="1"/>
  <c r="Q124" i="71" s="1"/>
  <c r="AB121" i="71"/>
  <c r="AB83" i="71"/>
  <c r="AB81" i="71"/>
  <c r="AB80" i="71"/>
  <c r="AB82" i="71"/>
  <c r="AA48" i="71"/>
  <c r="AA63" i="71" s="1"/>
  <c r="AA65" i="71" s="1"/>
  <c r="S71" i="71"/>
  <c r="S72" i="71" s="1"/>
  <c r="S34" i="71"/>
  <c r="O35" i="71"/>
  <c r="O36" i="71" s="1"/>
  <c r="O45" i="71" s="1"/>
  <c r="O34" i="71"/>
  <c r="R73" i="71"/>
  <c r="R34" i="71"/>
  <c r="X35" i="71"/>
  <c r="X34" i="71"/>
  <c r="X36" i="71" s="1"/>
  <c r="X40" i="71" s="1"/>
  <c r="W73" i="71"/>
  <c r="W35" i="71"/>
  <c r="W34" i="71"/>
  <c r="W36" i="71" s="1"/>
  <c r="W45" i="71" s="1"/>
  <c r="U35" i="71"/>
  <c r="U34" i="71"/>
  <c r="Y40" i="71"/>
  <c r="W71" i="71"/>
  <c r="W72" i="71" s="1"/>
  <c r="W89" i="71"/>
  <c r="W90" i="71" s="1"/>
  <c r="W95" i="71" s="1"/>
  <c r="W69" i="71"/>
  <c r="W70" i="71" s="1"/>
  <c r="W120" i="71"/>
  <c r="R69" i="71"/>
  <c r="R70" i="71" s="1"/>
  <c r="R89" i="71"/>
  <c r="R90" i="71" s="1"/>
  <c r="R95" i="71" s="1"/>
  <c r="Z74" i="71"/>
  <c r="Z122" i="71" s="1"/>
  <c r="P48" i="71"/>
  <c r="P63" i="71" s="1"/>
  <c r="P65" i="71" s="1"/>
  <c r="M48" i="71"/>
  <c r="M63" i="71" s="1"/>
  <c r="L48" i="71"/>
  <c r="R35" i="71"/>
  <c r="R120" i="71"/>
  <c r="R71" i="71"/>
  <c r="R72" i="71" s="1"/>
  <c r="L122" i="71"/>
  <c r="Z48" i="71"/>
  <c r="Z63" i="71" s="1"/>
  <c r="Z65" i="71" s="1"/>
  <c r="S35" i="71"/>
  <c r="S120" i="71"/>
  <c r="S69" i="71"/>
  <c r="S70" i="71" s="1"/>
  <c r="S89" i="71"/>
  <c r="S90" i="71" s="1"/>
  <c r="S95" i="71" s="1"/>
  <c r="S73" i="71"/>
  <c r="O89" i="71"/>
  <c r="O90" i="71" s="1"/>
  <c r="O95" i="71" s="1"/>
  <c r="Q84" i="71"/>
  <c r="R84" i="71" s="1"/>
  <c r="S84" i="71" s="1"/>
  <c r="L84" i="71"/>
  <c r="K74" i="71"/>
  <c r="K122" i="71" s="1"/>
  <c r="N84" i="71"/>
  <c r="O84" i="71" s="1"/>
  <c r="O69" i="71"/>
  <c r="O70" i="71" s="1"/>
  <c r="O120" i="71"/>
  <c r="O71" i="71"/>
  <c r="O72" i="71" s="1"/>
  <c r="O73" i="71"/>
  <c r="N36" i="71"/>
  <c r="N46" i="71" s="1"/>
  <c r="T40" i="71"/>
  <c r="U69" i="71"/>
  <c r="U70" i="71" s="1"/>
  <c r="Y47" i="71"/>
  <c r="U89" i="71"/>
  <c r="U90" i="71" s="1"/>
  <c r="U95" i="71" s="1"/>
  <c r="U73" i="71"/>
  <c r="U120" i="71"/>
  <c r="U71" i="71"/>
  <c r="U72" i="71" s="1"/>
  <c r="Y44" i="71"/>
  <c r="U36" i="71"/>
  <c r="Q35" i="71"/>
  <c r="Q36" i="71" s="1"/>
  <c r="Q46" i="71" s="1"/>
  <c r="Q120" i="71"/>
  <c r="Q71" i="71"/>
  <c r="Q72" i="71" s="1"/>
  <c r="T62" i="71"/>
  <c r="T45" i="71"/>
  <c r="T44" i="71"/>
  <c r="N74" i="71"/>
  <c r="N122" i="71" s="1"/>
  <c r="T47" i="71"/>
  <c r="Q69" i="71"/>
  <c r="Q70" i="71" s="1"/>
  <c r="T43" i="71"/>
  <c r="T42" i="71"/>
  <c r="T41" i="71"/>
  <c r="T74" i="71"/>
  <c r="T122" i="71" s="1"/>
  <c r="Q73" i="71"/>
  <c r="Q89" i="71"/>
  <c r="Q90" i="71" s="1"/>
  <c r="Q95" i="71" s="1"/>
  <c r="Y62" i="71"/>
  <c r="Y41" i="71"/>
  <c r="X89" i="71"/>
  <c r="X90" i="71" s="1"/>
  <c r="X95" i="71" s="1"/>
  <c r="X120" i="71"/>
  <c r="Y45" i="71"/>
  <c r="Y43" i="71"/>
  <c r="V36" i="71"/>
  <c r="X73" i="71"/>
  <c r="Y46" i="71"/>
  <c r="X69" i="71"/>
  <c r="X70" i="71" s="1"/>
  <c r="X71" i="71"/>
  <c r="X72" i="71" s="1"/>
  <c r="K45" i="71"/>
  <c r="K42" i="71"/>
  <c r="K40" i="71"/>
  <c r="K47" i="71"/>
  <c r="K46" i="71"/>
  <c r="K41" i="71"/>
  <c r="K44" i="71"/>
  <c r="K43" i="71"/>
  <c r="V74" i="71"/>
  <c r="V122" i="71" s="1"/>
  <c r="AC127" i="71" l="1"/>
  <c r="J30" i="74" s="1"/>
  <c r="K30" i="74" s="1"/>
  <c r="L30" i="74" s="1"/>
  <c r="M30" i="74" s="1"/>
  <c r="AA83" i="71"/>
  <c r="AA80" i="71"/>
  <c r="AA121" i="71"/>
  <c r="AA82" i="71"/>
  <c r="AA81" i="71"/>
  <c r="V44" i="71"/>
  <c r="V40" i="71"/>
  <c r="W40" i="71"/>
  <c r="W74" i="71"/>
  <c r="W122" i="71" s="1"/>
  <c r="M65" i="71"/>
  <c r="M82" i="71" s="1"/>
  <c r="L63" i="71"/>
  <c r="L65" i="71" s="1"/>
  <c r="R36" i="71"/>
  <c r="R41" i="71" s="1"/>
  <c r="P121" i="71"/>
  <c r="P82" i="71"/>
  <c r="P83" i="71"/>
  <c r="P81" i="71"/>
  <c r="P80" i="71"/>
  <c r="R74" i="71"/>
  <c r="R122" i="71" s="1"/>
  <c r="S74" i="71"/>
  <c r="S122" i="71" s="1"/>
  <c r="Z82" i="71"/>
  <c r="Z83" i="71"/>
  <c r="Z121" i="71"/>
  <c r="Z80" i="71"/>
  <c r="Z81" i="71"/>
  <c r="S36" i="71"/>
  <c r="S44" i="71" s="1"/>
  <c r="M84" i="71"/>
  <c r="N45" i="71"/>
  <c r="N42" i="71"/>
  <c r="O74" i="71"/>
  <c r="O122" i="71" s="1"/>
  <c r="N47" i="71"/>
  <c r="N41" i="71"/>
  <c r="N40" i="71"/>
  <c r="N62" i="71"/>
  <c r="N43" i="71"/>
  <c r="N44" i="71"/>
  <c r="W44" i="71"/>
  <c r="W47" i="71"/>
  <c r="W46" i="71"/>
  <c r="W42" i="71"/>
  <c r="W62" i="71"/>
  <c r="W41" i="71"/>
  <c r="W43" i="71"/>
  <c r="Q44" i="71"/>
  <c r="Q43" i="71"/>
  <c r="Q41" i="71"/>
  <c r="Q45" i="71"/>
  <c r="U74" i="71"/>
  <c r="U122" i="71" s="1"/>
  <c r="Q42" i="71"/>
  <c r="Q40" i="71"/>
  <c r="Q62" i="71"/>
  <c r="Q47" i="71"/>
  <c r="O46" i="71"/>
  <c r="Q74" i="71"/>
  <c r="Q122" i="71" s="1"/>
  <c r="O44" i="71"/>
  <c r="O42" i="71"/>
  <c r="T48" i="71"/>
  <c r="T63" i="71" s="1"/>
  <c r="T65" i="71" s="1"/>
  <c r="V45" i="71"/>
  <c r="O43" i="71"/>
  <c r="V46" i="71"/>
  <c r="O62" i="71"/>
  <c r="O47" i="71"/>
  <c r="O41" i="71"/>
  <c r="O40" i="71"/>
  <c r="V41" i="71"/>
  <c r="V43" i="71"/>
  <c r="V47" i="71"/>
  <c r="V62" i="71"/>
  <c r="Y48" i="71"/>
  <c r="Y63" i="71" s="1"/>
  <c r="Y65" i="71" s="1"/>
  <c r="X74" i="71"/>
  <c r="X122" i="71" s="1"/>
  <c r="V42" i="71"/>
  <c r="X43" i="71"/>
  <c r="X45" i="71"/>
  <c r="X44" i="71"/>
  <c r="X42" i="71"/>
  <c r="X46" i="71"/>
  <c r="X47" i="71"/>
  <c r="X41" i="71"/>
  <c r="X62" i="71"/>
  <c r="K48" i="71"/>
  <c r="T84" i="71"/>
  <c r="V84" i="71"/>
  <c r="U62" i="71"/>
  <c r="U45" i="71"/>
  <c r="U40" i="71"/>
  <c r="U44" i="71"/>
  <c r="U42" i="71"/>
  <c r="U47" i="71"/>
  <c r="U43" i="71"/>
  <c r="U41" i="71"/>
  <c r="U46" i="71"/>
  <c r="AC113" i="71" l="1"/>
  <c r="AC112" i="71"/>
  <c r="AC115" i="71"/>
  <c r="L82" i="71"/>
  <c r="L81" i="71"/>
  <c r="L80" i="71"/>
  <c r="L121" i="71"/>
  <c r="L83" i="71"/>
  <c r="M83" i="71"/>
  <c r="T82" i="71"/>
  <c r="M80" i="71"/>
  <c r="M121" i="71"/>
  <c r="M81" i="71"/>
  <c r="K63" i="71"/>
  <c r="K65" i="71" s="1"/>
  <c r="K80" i="71" s="1"/>
  <c r="Y81" i="71"/>
  <c r="R44" i="71"/>
  <c r="R62" i="71"/>
  <c r="R46" i="71"/>
  <c r="R47" i="71"/>
  <c r="R42" i="71"/>
  <c r="R43" i="71"/>
  <c r="R40" i="71"/>
  <c r="R45" i="71"/>
  <c r="P85" i="71"/>
  <c r="P94" i="71" s="1"/>
  <c r="P96" i="71" s="1"/>
  <c r="P123" i="71" s="1"/>
  <c r="P125" i="71" s="1"/>
  <c r="S45" i="71"/>
  <c r="S41" i="71"/>
  <c r="S62" i="71"/>
  <c r="S42" i="71"/>
  <c r="S46" i="71"/>
  <c r="S40" i="71"/>
  <c r="S47" i="71"/>
  <c r="S43" i="71"/>
  <c r="N48" i="71"/>
  <c r="N63" i="71" s="1"/>
  <c r="N65" i="71" s="1"/>
  <c r="W48" i="71"/>
  <c r="W63" i="71" s="1"/>
  <c r="W65" i="71" s="1"/>
  <c r="Q48" i="71"/>
  <c r="Q63" i="71" s="1"/>
  <c r="Q65" i="71" s="1"/>
  <c r="T83" i="71"/>
  <c r="T121" i="71"/>
  <c r="T80" i="71"/>
  <c r="T81" i="71"/>
  <c r="V48" i="71"/>
  <c r="V63" i="71" s="1"/>
  <c r="V65" i="71" s="1"/>
  <c r="O48" i="71"/>
  <c r="O63" i="71" s="1"/>
  <c r="O65" i="71" s="1"/>
  <c r="Y121" i="71"/>
  <c r="Y83" i="71"/>
  <c r="Y82" i="71"/>
  <c r="Y80" i="71"/>
  <c r="X48" i="71"/>
  <c r="X63" i="71" s="1"/>
  <c r="Y84" i="71"/>
  <c r="AB84" i="71" s="1"/>
  <c r="AB85" i="71" s="1"/>
  <c r="AB94" i="71" s="1"/>
  <c r="AB96" i="71" s="1"/>
  <c r="AB123" i="71" s="1"/>
  <c r="AB125" i="71" s="1"/>
  <c r="W84" i="71"/>
  <c r="Z84" i="71" s="1"/>
  <c r="Z85" i="71" s="1"/>
  <c r="Z94" i="71" s="1"/>
  <c r="Z96" i="71" s="1"/>
  <c r="Z123" i="71" s="1"/>
  <c r="Z125" i="71" s="1"/>
  <c r="U84" i="71"/>
  <c r="X84" i="71" s="1"/>
  <c r="AA84" i="71" s="1"/>
  <c r="AA85" i="71" s="1"/>
  <c r="AA94" i="71" s="1"/>
  <c r="AA96" i="71" s="1"/>
  <c r="AA123" i="71" s="1"/>
  <c r="AA125" i="71" s="1"/>
  <c r="U48" i="71"/>
  <c r="U63" i="71" s="1"/>
  <c r="U65" i="71" s="1"/>
  <c r="AC110" i="71" l="1"/>
  <c r="AC116" i="71" s="1"/>
  <c r="AC126" i="71" s="1"/>
  <c r="M85" i="71"/>
  <c r="M94" i="71" s="1"/>
  <c r="M96" i="71" s="1"/>
  <c r="M123" i="71" s="1"/>
  <c r="M125" i="71" s="1"/>
  <c r="M108" i="71" s="1"/>
  <c r="M109" i="71" s="1"/>
  <c r="M127" i="71" s="1"/>
  <c r="M112" i="71" s="1"/>
  <c r="L85" i="71"/>
  <c r="L94" i="71" s="1"/>
  <c r="L96" i="71" s="1"/>
  <c r="L123" i="71" s="1"/>
  <c r="L125" i="71" s="1"/>
  <c r="L108" i="71" s="1"/>
  <c r="L109" i="71" s="1"/>
  <c r="L127" i="71" s="1"/>
  <c r="L112" i="71" s="1"/>
  <c r="K82" i="71"/>
  <c r="K121" i="71"/>
  <c r="K83" i="71"/>
  <c r="K81" i="71"/>
  <c r="AB108" i="71"/>
  <c r="AB109" i="71" s="1"/>
  <c r="AB127" i="71" s="1"/>
  <c r="J29" i="74" s="1"/>
  <c r="K29" i="74" s="1"/>
  <c r="L29" i="74" s="1"/>
  <c r="O80" i="71"/>
  <c r="X65" i="71"/>
  <c r="AA108" i="71"/>
  <c r="AA109" i="71" s="1"/>
  <c r="R48" i="71"/>
  <c r="R63" i="71" s="1"/>
  <c r="P108" i="71"/>
  <c r="P109" i="71" s="1"/>
  <c r="S48" i="71"/>
  <c r="S63" i="71" s="1"/>
  <c r="Z108" i="71"/>
  <c r="Z109" i="71" s="1"/>
  <c r="N121" i="71"/>
  <c r="N81" i="71"/>
  <c r="N82" i="71"/>
  <c r="N80" i="71"/>
  <c r="N83" i="71"/>
  <c r="Q83" i="71"/>
  <c r="V81" i="71"/>
  <c r="Q82" i="71"/>
  <c r="Q81" i="71"/>
  <c r="V121" i="71"/>
  <c r="W81" i="71"/>
  <c r="W83" i="71"/>
  <c r="W121" i="71"/>
  <c r="W80" i="71"/>
  <c r="W82" i="71"/>
  <c r="Q121" i="71"/>
  <c r="X121" i="71"/>
  <c r="T85" i="71"/>
  <c r="T94" i="71" s="1"/>
  <c r="T96" i="71" s="1"/>
  <c r="T123" i="71" s="1"/>
  <c r="T125" i="71" s="1"/>
  <c r="T108" i="71" s="1"/>
  <c r="T109" i="71" s="1"/>
  <c r="Q80" i="71"/>
  <c r="X83" i="71"/>
  <c r="V83" i="71"/>
  <c r="V82" i="71"/>
  <c r="V80" i="71"/>
  <c r="X81" i="71"/>
  <c r="O82" i="71"/>
  <c r="O83" i="71"/>
  <c r="Y85" i="71"/>
  <c r="Y94" i="71" s="1"/>
  <c r="Y96" i="71" s="1"/>
  <c r="Y123" i="71" s="1"/>
  <c r="Y125" i="71" s="1"/>
  <c r="Y108" i="71" s="1"/>
  <c r="O81" i="71"/>
  <c r="O121" i="71"/>
  <c r="U121" i="71"/>
  <c r="U80" i="71"/>
  <c r="U83" i="71"/>
  <c r="U82" i="71"/>
  <c r="U81" i="71"/>
  <c r="M29" i="74" l="1"/>
  <c r="L115" i="71"/>
  <c r="J13" i="74"/>
  <c r="K13" i="74" s="1"/>
  <c r="L13" i="74" s="1"/>
  <c r="M13" i="74" s="1"/>
  <c r="L113" i="71"/>
  <c r="K85" i="71"/>
  <c r="K94" i="71" s="1"/>
  <c r="K96" i="71" s="1"/>
  <c r="K123" i="71" s="1"/>
  <c r="K125" i="71" s="1"/>
  <c r="K108" i="71" s="1"/>
  <c r="K109" i="71" s="1"/>
  <c r="J14" i="74"/>
  <c r="K14" i="74" s="1"/>
  <c r="L14" i="74" s="1"/>
  <c r="M14" i="74" s="1"/>
  <c r="AB115" i="71"/>
  <c r="AB113" i="71"/>
  <c r="AB112" i="71"/>
  <c r="X82" i="71"/>
  <c r="X80" i="71"/>
  <c r="M115" i="71"/>
  <c r="M113" i="71"/>
  <c r="S65" i="71"/>
  <c r="S82" i="71" s="1"/>
  <c r="R65" i="71"/>
  <c r="AA127" i="71"/>
  <c r="J28" i="74" s="1"/>
  <c r="K28" i="74" s="1"/>
  <c r="L28" i="74" s="1"/>
  <c r="P127" i="71"/>
  <c r="N85" i="71"/>
  <c r="N94" i="71" s="1"/>
  <c r="N96" i="71" s="1"/>
  <c r="N123" i="71" s="1"/>
  <c r="N125" i="71" s="1"/>
  <c r="N108" i="71" s="1"/>
  <c r="N109" i="71" s="1"/>
  <c r="Z127" i="71"/>
  <c r="J27" i="74" s="1"/>
  <c r="W85" i="71"/>
  <c r="W94" i="71" s="1"/>
  <c r="W96" i="71" s="1"/>
  <c r="W123" i="71" s="1"/>
  <c r="W125" i="71" s="1"/>
  <c r="W108" i="71" s="1"/>
  <c r="W109" i="71" s="1"/>
  <c r="V85" i="71"/>
  <c r="V94" i="71" s="1"/>
  <c r="V96" i="71" s="1"/>
  <c r="V123" i="71" s="1"/>
  <c r="V125" i="71" s="1"/>
  <c r="V108" i="71" s="1"/>
  <c r="V109" i="71" s="1"/>
  <c r="V127" i="71" s="1"/>
  <c r="V112" i="71" s="1"/>
  <c r="Q85" i="71"/>
  <c r="Q94" i="71" s="1"/>
  <c r="Q96" i="71" s="1"/>
  <c r="Q123" i="71" s="1"/>
  <c r="Q125" i="71" s="1"/>
  <c r="Q108" i="71" s="1"/>
  <c r="Q109" i="71" s="1"/>
  <c r="Q127" i="71" s="1"/>
  <c r="O85" i="71"/>
  <c r="O94" i="71" s="1"/>
  <c r="O96" i="71" s="1"/>
  <c r="O123" i="71" s="1"/>
  <c r="O125" i="71" s="1"/>
  <c r="O108" i="71" s="1"/>
  <c r="Y109" i="71"/>
  <c r="Y127" i="71" s="1"/>
  <c r="J26" i="74" s="1"/>
  <c r="T127" i="71"/>
  <c r="U85" i="71"/>
  <c r="U94" i="71" s="1"/>
  <c r="U96" i="71" s="1"/>
  <c r="U123" i="71" s="1"/>
  <c r="U125" i="71" s="1"/>
  <c r="L110" i="71" l="1"/>
  <c r="L116" i="71" s="1"/>
  <c r="L126" i="71" s="1"/>
  <c r="X85" i="71"/>
  <c r="X94" i="71" s="1"/>
  <c r="X96" i="71" s="1"/>
  <c r="X123" i="71" s="1"/>
  <c r="X125" i="71" s="1"/>
  <c r="X108" i="71" s="1"/>
  <c r="X109" i="71" s="1"/>
  <c r="X127" i="71" s="1"/>
  <c r="J25" i="74" s="1"/>
  <c r="K25" i="74" s="1"/>
  <c r="L25" i="74" s="1"/>
  <c r="M110" i="71"/>
  <c r="M116" i="71" s="1"/>
  <c r="M126" i="71" s="1"/>
  <c r="M28" i="74"/>
  <c r="S80" i="71"/>
  <c r="S121" i="71"/>
  <c r="AB110" i="71"/>
  <c r="AB116" i="71" s="1"/>
  <c r="AB126" i="71" s="1"/>
  <c r="AA115" i="71"/>
  <c r="AA113" i="71"/>
  <c r="AA112" i="71"/>
  <c r="R80" i="71"/>
  <c r="R83" i="71"/>
  <c r="R81" i="71"/>
  <c r="R121" i="71"/>
  <c r="R82" i="71"/>
  <c r="S83" i="71"/>
  <c r="S81" i="71"/>
  <c r="P113" i="71"/>
  <c r="P115" i="71"/>
  <c r="P112" i="71"/>
  <c r="Z112" i="71"/>
  <c r="K27" i="74"/>
  <c r="L27" i="74" s="1"/>
  <c r="M27" i="74" s="1"/>
  <c r="N127" i="71"/>
  <c r="J15" i="74" s="1"/>
  <c r="K15" i="74" s="1"/>
  <c r="Z113" i="71"/>
  <c r="Z115" i="71"/>
  <c r="J17" i="74"/>
  <c r="K17" i="74" s="1"/>
  <c r="W127" i="71"/>
  <c r="W113" i="71" s="1"/>
  <c r="V115" i="71"/>
  <c r="J23" i="74"/>
  <c r="K23" i="74" s="1"/>
  <c r="L23" i="74" s="1"/>
  <c r="V113" i="71"/>
  <c r="O109" i="71"/>
  <c r="O127" i="71" s="1"/>
  <c r="K127" i="71"/>
  <c r="Q113" i="71"/>
  <c r="Q115" i="71"/>
  <c r="J18" i="74"/>
  <c r="K18" i="74" s="1"/>
  <c r="L18" i="74" s="1"/>
  <c r="M18" i="74" s="1"/>
  <c r="Q112" i="71"/>
  <c r="Y113" i="71"/>
  <c r="Y115" i="71"/>
  <c r="Y112" i="71"/>
  <c r="K26" i="74"/>
  <c r="L26" i="74" s="1"/>
  <c r="M26" i="74" s="1"/>
  <c r="J21" i="74"/>
  <c r="K21" i="74" s="1"/>
  <c r="L21" i="74" s="1"/>
  <c r="M21" i="74" s="1"/>
  <c r="T113" i="71"/>
  <c r="T115" i="71"/>
  <c r="T112" i="71"/>
  <c r="U108" i="71"/>
  <c r="U109" i="71" s="1"/>
  <c r="M25" i="74" l="1"/>
  <c r="X113" i="71"/>
  <c r="X115" i="71"/>
  <c r="S85" i="71"/>
  <c r="S94" i="71" s="1"/>
  <c r="S96" i="71" s="1"/>
  <c r="S123" i="71" s="1"/>
  <c r="S125" i="71" s="1"/>
  <c r="S108" i="71" s="1"/>
  <c r="S109" i="71" s="1"/>
  <c r="S127" i="71" s="1"/>
  <c r="S113" i="71" s="1"/>
  <c r="R85" i="71"/>
  <c r="R94" i="71" s="1"/>
  <c r="R96" i="71" s="1"/>
  <c r="R123" i="71" s="1"/>
  <c r="R125" i="71" s="1"/>
  <c r="R108" i="71" s="1"/>
  <c r="X112" i="71"/>
  <c r="AA110" i="71"/>
  <c r="AA116" i="71" s="1"/>
  <c r="AA126" i="71" s="1"/>
  <c r="P110" i="71"/>
  <c r="P116" i="71" s="1"/>
  <c r="P126" i="71" s="1"/>
  <c r="L15" i="74"/>
  <c r="M15" i="74" s="1"/>
  <c r="L17" i="74"/>
  <c r="M17" i="74" s="1"/>
  <c r="N115" i="71"/>
  <c r="N113" i="71"/>
  <c r="N112" i="71"/>
  <c r="Z110" i="71"/>
  <c r="Z116" i="71" s="1"/>
  <c r="Z126" i="71" s="1"/>
  <c r="M23" i="74"/>
  <c r="V110" i="71"/>
  <c r="V116" i="71" s="1"/>
  <c r="V126" i="71" s="1"/>
  <c r="J24" i="74"/>
  <c r="K24" i="74" s="1"/>
  <c r="L24" i="74" s="1"/>
  <c r="M24" i="74" s="1"/>
  <c r="W112" i="71"/>
  <c r="W115" i="71"/>
  <c r="K112" i="71"/>
  <c r="J12" i="74"/>
  <c r="K12" i="74" s="1"/>
  <c r="K113" i="71"/>
  <c r="K115" i="71"/>
  <c r="U127" i="71"/>
  <c r="U112" i="71" s="1"/>
  <c r="T110" i="71"/>
  <c r="T116" i="71" s="1"/>
  <c r="T126" i="71" s="1"/>
  <c r="J16" i="74"/>
  <c r="K16" i="74" s="1"/>
  <c r="O113" i="71"/>
  <c r="O112" i="71"/>
  <c r="O115" i="71"/>
  <c r="Y110" i="71"/>
  <c r="Y116" i="71" s="1"/>
  <c r="Y126" i="71" s="1"/>
  <c r="Q110" i="71"/>
  <c r="Q116" i="71" s="1"/>
  <c r="Q126" i="71" s="1"/>
  <c r="X110" i="71" l="1"/>
  <c r="X116" i="71" s="1"/>
  <c r="X126" i="71" s="1"/>
  <c r="S112" i="71"/>
  <c r="S115" i="71"/>
  <c r="J20" i="74"/>
  <c r="K20" i="74" s="1"/>
  <c r="L20" i="74" s="1"/>
  <c r="M20" i="74" s="1"/>
  <c r="R109" i="71"/>
  <c r="R127" i="71" s="1"/>
  <c r="R115" i="71" s="1"/>
  <c r="L16" i="74"/>
  <c r="L12" i="74"/>
  <c r="N110" i="71"/>
  <c r="N116" i="71" s="1"/>
  <c r="N126" i="71" s="1"/>
  <c r="W110" i="71"/>
  <c r="W116" i="71" s="1"/>
  <c r="W126" i="71" s="1"/>
  <c r="O110" i="71"/>
  <c r="O116" i="71" s="1"/>
  <c r="O126" i="71" s="1"/>
  <c r="K110" i="71"/>
  <c r="K116" i="71" s="1"/>
  <c r="K126" i="71" s="1"/>
  <c r="U115" i="71"/>
  <c r="J22" i="74"/>
  <c r="K22" i="74" s="1"/>
  <c r="L22" i="74" s="1"/>
  <c r="U113" i="71"/>
  <c r="S110" i="71" l="1"/>
  <c r="S116" i="71" s="1"/>
  <c r="S126" i="71" s="1"/>
  <c r="M16" i="74"/>
  <c r="R112" i="71"/>
  <c r="J19" i="74"/>
  <c r="K19" i="74" s="1"/>
  <c r="L19" i="74" s="1"/>
  <c r="M19" i="74" s="1"/>
  <c r="R113" i="71"/>
  <c r="M12" i="74"/>
  <c r="M22" i="74"/>
  <c r="U110" i="71"/>
  <c r="U116" i="71" s="1"/>
  <c r="U126" i="71" s="1"/>
  <c r="L31" i="74" l="1"/>
  <c r="M31" i="74"/>
  <c r="R110" i="71"/>
  <c r="R116" i="71" s="1"/>
  <c r="R126" i="7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tc={C0689D33-8B09-4D1E-AC7A-E9C657CEA95D}</author>
  </authors>
  <commentList>
    <comment ref="V17" authorId="0" shapeId="0" xr:uid="{C0689D33-8B09-4D1E-AC7A-E9C657CEA95D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Média salarial dissídio/glassdoor</t>
      </text>
    </comment>
  </commentList>
</comments>
</file>

<file path=xl/sharedStrings.xml><?xml version="1.0" encoding="utf-8"?>
<sst xmlns="http://schemas.openxmlformats.org/spreadsheetml/2006/main" count="716" uniqueCount="272">
  <si>
    <t>PLANILHA DE CUSTOS E FORMAÇÃO DE PREÇOS - CONTRATAÇÃO DE SERVIÇOS DE APOIO ADMINISTRATIVO PARA O HUUFMA</t>
  </si>
  <si>
    <t>PROCESSO SEI N.º:</t>
  </si>
  <si>
    <t>MODALIDADE:</t>
  </si>
  <si>
    <t>PREGÃO ELETRÔNICO</t>
  </si>
  <si>
    <t>Tipo de Serviços</t>
  </si>
  <si>
    <t>Apoio Administrativo</t>
  </si>
  <si>
    <t>Carga Horária</t>
  </si>
  <si>
    <t>44h</t>
  </si>
  <si>
    <t>12x36 (Diurno)</t>
  </si>
  <si>
    <t>12x36 (Noturno)</t>
  </si>
  <si>
    <t>Salário Normativo da Categoria Profissional</t>
  </si>
  <si>
    <t>Ano Acordo, Convenções ou Setença Normativa em Dissídio Coletivo</t>
  </si>
  <si>
    <t>Categoria profissional (vinculada à execução contratual )</t>
  </si>
  <si>
    <t>Aux. De Apoio Adm.</t>
  </si>
  <si>
    <t>Recepcionista</t>
  </si>
  <si>
    <t>Telefonista</t>
  </si>
  <si>
    <t xml:space="preserve">Data base da categoria </t>
  </si>
  <si>
    <r>
      <t xml:space="preserve">MÓDULO 1 – </t>
    </r>
    <r>
      <rPr>
        <b/>
        <sz val="11"/>
        <rFont val="Calibri"/>
        <family val="2"/>
      </rPr>
      <t>COMPOSIÇÃO DA REMUNERAÇÃO</t>
    </r>
  </si>
  <si>
    <t>Composição da Remuneração</t>
  </si>
  <si>
    <t>%</t>
  </si>
  <si>
    <t>Valor (R$)</t>
  </si>
  <si>
    <t>A</t>
  </si>
  <si>
    <t>Salário Base</t>
  </si>
  <si>
    <t>B</t>
  </si>
  <si>
    <t>C</t>
  </si>
  <si>
    <t>D</t>
  </si>
  <si>
    <t>E</t>
  </si>
  <si>
    <t>Adicional de Hora Noturna Reduzida</t>
  </si>
  <si>
    <t>F</t>
  </si>
  <si>
    <t>Outros</t>
  </si>
  <si>
    <t>TOTAL DA REMUNERAÇÃO - MODULO 1</t>
  </si>
  <si>
    <r>
      <t xml:space="preserve">MÓDULO 2 – ENCARGOS E </t>
    </r>
    <r>
      <rPr>
        <b/>
        <sz val="11"/>
        <rFont val="Calibri"/>
        <family val="2"/>
      </rPr>
      <t>BENEFICIOS ANUAIS, MENSAIS E DIÁRIOS</t>
    </r>
  </si>
  <si>
    <t>Submódulo 2.1 – 13º Salário, Férias e Adicional de Férias</t>
  </si>
  <si>
    <t>13º Salário, Férias e Adicional de Férias</t>
  </si>
  <si>
    <t>13º (décimo terceiro) salário</t>
  </si>
  <si>
    <t>Férias e Adicional de Férias</t>
  </si>
  <si>
    <t>TOTAL SUBMÓDULO 2.1</t>
  </si>
  <si>
    <t>Submódulo 2.2 – GPS, FGTS e Outras Contribuições</t>
  </si>
  <si>
    <t>GPS, FGTS e Outras Contribuições</t>
  </si>
  <si>
    <t>INSS</t>
  </si>
  <si>
    <t>Salário Educação</t>
  </si>
  <si>
    <t>SAT (Seguro Acidente do Trabalho) ( X FAP (0,5 a 2,0) (VARIAÇÃO: 0,5% a 6%)</t>
  </si>
  <si>
    <t>SESC ou SESI</t>
  </si>
  <si>
    <t>SENAI-SENAC</t>
  </si>
  <si>
    <t>SEBRAE</t>
  </si>
  <si>
    <t>G</t>
  </si>
  <si>
    <t>INCRA</t>
  </si>
  <si>
    <t>H</t>
  </si>
  <si>
    <t>FGTS</t>
  </si>
  <si>
    <t>TOTAL SUBMODULO 2.2</t>
  </si>
  <si>
    <t>Submódulo 2.3 – Benefícios Mensais e Diários</t>
  </si>
  <si>
    <t>Benefícios Mensais e Diários</t>
  </si>
  <si>
    <t>Unitário:</t>
  </si>
  <si>
    <t>Auxílio Cesta Básica</t>
  </si>
  <si>
    <t>Plano de Saúde</t>
  </si>
  <si>
    <t>Auxílio Funeral, Seguro de Vida</t>
  </si>
  <si>
    <t>Intervalo Intrajornada</t>
  </si>
  <si>
    <t>TOTAL SUBMÓDULO 2.3</t>
  </si>
  <si>
    <r>
      <t xml:space="preserve">QUADRO-RESUMO DO MÓDULO 2 – ENCARGOS E </t>
    </r>
    <r>
      <rPr>
        <b/>
        <sz val="11"/>
        <rFont val="Calibri"/>
        <family val="2"/>
      </rPr>
      <t>BENEFICIOS ANUAIS, MENSAIS E DIÁRIOS</t>
    </r>
  </si>
  <si>
    <t>Módulo 2 - Encargos e Benefícios Anuais, Mensais e Diários</t>
  </si>
  <si>
    <t>2.1</t>
  </si>
  <si>
    <t>2.2</t>
  </si>
  <si>
    <t>2.3</t>
  </si>
  <si>
    <t>TOTAL DO MÓDULO 2</t>
  </si>
  <si>
    <t>MÓDULO 3 – PROVISÃO PARA RESCISÃO</t>
  </si>
  <si>
    <t>Provisão para Rescisão</t>
  </si>
  <si>
    <t>Aviso Prévio Indenizado</t>
  </si>
  <si>
    <t>Incidência do FGTS sobre o Aviso Prévio Indenizado</t>
  </si>
  <si>
    <t>Aviso Prévio Trabalhado</t>
  </si>
  <si>
    <t>Incidência de GPS, FGTS e outras contribuições sobre o Aviso Prévio Trabalhado</t>
  </si>
  <si>
    <r>
      <t>Multa do FGTS e contribuição social sobre o Aviso Prévio</t>
    </r>
    <r>
      <rPr>
        <b/>
        <sz val="11"/>
        <rFont val="Calibri"/>
        <family val="2"/>
      </rPr>
      <t xml:space="preserve"> Indenizado e Trabalhado</t>
    </r>
  </si>
  <si>
    <t>TOTAL MÓDULO 3</t>
  </si>
  <si>
    <t>MÓDULO 4 - CUSTO DE REPOSIÇÃO DO PROFISSIONAL AUSENTE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</si>
  <si>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</si>
  <si>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</si>
  <si>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</si>
  <si>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</si>
  <si>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</si>
  <si>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</si>
  <si>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</si>
  <si>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</si>
  <si>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</si>
  <si>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Substituto na Intrajornada</t>
  </si>
  <si>
    <t>Substituto na Intrajornada</t>
  </si>
  <si>
    <t>Substituto na cobertura de Intervalo para repouso ou alimentação</t>
  </si>
  <si>
    <t>TOTAL SUBMODULO 4.2</t>
  </si>
  <si>
    <t>QUADRO-RESUMO DO MÓDULO 4 - CUSTO DE REPOSIÇÃO DO PROFISSIONAL AUSENTE</t>
  </si>
  <si>
    <t>Módulo 4 - Custo de Reposição do Profissional Ausente</t>
  </si>
  <si>
    <t>4.1</t>
  </si>
  <si>
    <t>4.2</t>
  </si>
  <si>
    <t>TOTAL DO MÓDULO 4</t>
  </si>
  <si>
    <r>
      <t>MÓDULO 5 –</t>
    </r>
    <r>
      <rPr>
        <b/>
        <sz val="11"/>
        <rFont val="Calibri"/>
        <family val="2"/>
      </rPr>
      <t xml:space="preserve"> INSUMOS DIVERSOS</t>
    </r>
  </si>
  <si>
    <t>Insumos Diversos</t>
  </si>
  <si>
    <t>Uniformes</t>
  </si>
  <si>
    <t>Materiais</t>
  </si>
  <si>
    <t>Equipamentos</t>
  </si>
  <si>
    <t>Outros (especificar)</t>
  </si>
  <si>
    <t>TOTAL MÓDULO 5</t>
  </si>
  <si>
    <t>MÓDULO 6 – CUSTOS INDIRETOS, TRIBUTOS E LUCROS</t>
  </si>
  <si>
    <t>Custos indiretos, Tributos e Lucro</t>
  </si>
  <si>
    <t>Custos indiretos</t>
  </si>
  <si>
    <t>Lucro</t>
  </si>
  <si>
    <t>Tributos</t>
  </si>
  <si>
    <t>C1. Tributos Federais (especificar)</t>
  </si>
  <si>
    <t>C1.1 PIS</t>
  </si>
  <si>
    <t>C1.2 CONFINS</t>
  </si>
  <si>
    <t>C.2 Tributos Estaduais (especificar)</t>
  </si>
  <si>
    <t>C.3 ISS</t>
  </si>
  <si>
    <t>TOTAL DO MÓDULO 6</t>
  </si>
  <si>
    <t>QUADRO RESUMO DO CUSTO POR EMPREGADO</t>
  </si>
  <si>
    <t>MÃO DE OBRA VINCULADA À EXECUÇÃO CONTRATUAL (valor por empregado)</t>
  </si>
  <si>
    <t>Valor Unit.(R$)</t>
  </si>
  <si>
    <t>MÓDULO 1 – COMPOSIÇÃO DA REMUNERAÇÃO</t>
  </si>
  <si>
    <t>MÓDULO 2 - ENCARGOS E BENEFICIOS ANUAIS, MENSAIS E DIÁRIOS</t>
  </si>
  <si>
    <t>MÓDULO 3 - PROVISÃO PARA RESCISÃO</t>
  </si>
  <si>
    <t>MÓDULO 4 - CUSTO DE RESPOSIÇÃO DO PROFISSIONAL AUSENTE</t>
  </si>
  <si>
    <t>MÓDULO 5 - INSUMOS DIVERSOS</t>
  </si>
  <si>
    <t>SUBTOTAL (A+B+C+D+E)</t>
  </si>
  <si>
    <t>MÓDULO 6 –  CUSTOS INDIRETOS, TRIBUTOS E LUCROS</t>
  </si>
  <si>
    <t>VALOR TOTAL POR EMPREGADO</t>
  </si>
  <si>
    <t>TIPO</t>
  </si>
  <si>
    <t>ESPECIFICAÇÃO</t>
  </si>
  <si>
    <t>UNIDADE</t>
  </si>
  <si>
    <t>VALOR ESTIMADO</t>
  </si>
  <si>
    <t>VALOR UNITÁRIO</t>
  </si>
  <si>
    <t>VALOR TOTAL</t>
  </si>
  <si>
    <t>UMA</t>
  </si>
  <si>
    <t>UM</t>
  </si>
  <si>
    <t>PAR</t>
  </si>
  <si>
    <t>VALOR TOTAL ANUAL POR FUNCIONÁRIO</t>
  </si>
  <si>
    <t>VALOR MENSAL POR FUNCIONÁRIO</t>
  </si>
  <si>
    <t>ESTIMATIVA DE CUSTOS APOIO ADMINISTRATIVO</t>
  </si>
  <si>
    <t>Ord</t>
  </si>
  <si>
    <t>DISCRIMINAÇÃO</t>
  </si>
  <si>
    <t>UND.</t>
  </si>
  <si>
    <t>QUANT. POSTOS</t>
  </si>
  <si>
    <t>QUANT. FUNCIONÁRIO P/ POSTO</t>
  </si>
  <si>
    <t>QUANT. FUNCIONÁRIOS</t>
  </si>
  <si>
    <t>VLR POR FUNCIONÁRIO</t>
  </si>
  <si>
    <t>VLR POR POSTO</t>
  </si>
  <si>
    <t>VLR TOTAL MENSAL DOS POSTOS</t>
  </si>
  <si>
    <t>VALOR TOTAL 12 MESES</t>
  </si>
  <si>
    <r>
      <t>POSTO</t>
    </r>
    <r>
      <rPr>
        <b/>
        <sz val="10"/>
        <color indexed="8"/>
        <rFont val="Tahoma"/>
        <family val="2"/>
      </rPr>
      <t xml:space="preserve"> AUX. DE APOIO ADM. </t>
    </r>
    <r>
      <rPr>
        <sz val="10"/>
        <color indexed="8"/>
        <rFont val="Tahoma"/>
        <family val="2"/>
      </rPr>
      <t>44 HS SEMANAIS - COM 01 AUXILIAR POR POSTO</t>
    </r>
  </si>
  <si>
    <t>POSTO</t>
  </si>
  <si>
    <r>
      <t>POSTO</t>
    </r>
    <r>
      <rPr>
        <b/>
        <sz val="10"/>
        <color indexed="8"/>
        <rFont val="Tahoma"/>
        <family val="2"/>
      </rPr>
      <t xml:space="preserve"> RECEPCIONISTA </t>
    </r>
    <r>
      <rPr>
        <sz val="10"/>
        <color indexed="8"/>
        <rFont val="Tahoma"/>
        <family val="2"/>
      </rPr>
      <t>12 X 36 - DIURNO - COM 02 RECEPCIONISTA POR POSTO</t>
    </r>
  </si>
  <si>
    <r>
      <t>POSTO</t>
    </r>
    <r>
      <rPr>
        <b/>
        <sz val="10"/>
        <color indexed="8"/>
        <rFont val="Tahoma"/>
        <family val="2"/>
      </rPr>
      <t xml:space="preserve"> RECEPCIONISTA </t>
    </r>
    <r>
      <rPr>
        <sz val="10"/>
        <color indexed="8"/>
        <rFont val="Tahoma"/>
        <family val="2"/>
      </rPr>
      <t>12 X 36 - NOTURNO - COM 02 RECEPCIONISTA POR POSTO</t>
    </r>
  </si>
  <si>
    <t>VALOR GLOBAL</t>
  </si>
  <si>
    <t>Atendente</t>
  </si>
  <si>
    <t>36h (Diurno)</t>
  </si>
  <si>
    <r>
      <t xml:space="preserve">POSTO </t>
    </r>
    <r>
      <rPr>
        <b/>
        <sz val="10"/>
        <color indexed="8"/>
        <rFont val="Tahoma"/>
        <family val="2"/>
      </rPr>
      <t>TELEFONISTA</t>
    </r>
    <r>
      <rPr>
        <sz val="10"/>
        <color indexed="8"/>
        <rFont val="Tahoma"/>
        <family val="2"/>
      </rPr>
      <t xml:space="preserve"> 36HS DIURNO - COM 01 TELEFONISTA POR POSTO</t>
    </r>
  </si>
  <si>
    <r>
      <t xml:space="preserve">POSTO </t>
    </r>
    <r>
      <rPr>
        <b/>
        <sz val="10"/>
        <color indexed="8"/>
        <rFont val="Tahoma"/>
        <family val="2"/>
      </rPr>
      <t>ATENDENTE</t>
    </r>
    <r>
      <rPr>
        <sz val="10"/>
        <color indexed="8"/>
        <rFont val="Tahoma"/>
        <family val="2"/>
      </rPr>
      <t xml:space="preserve"> 12X36HS - DIURNO - COM 02 ATENDENTE POR POSTO</t>
    </r>
  </si>
  <si>
    <r>
      <t xml:space="preserve">POSTO </t>
    </r>
    <r>
      <rPr>
        <b/>
        <sz val="10"/>
        <color indexed="8"/>
        <rFont val="Tahoma"/>
        <family val="2"/>
      </rPr>
      <t>ATENDENTE</t>
    </r>
    <r>
      <rPr>
        <sz val="10"/>
        <color indexed="8"/>
        <rFont val="Tahoma"/>
        <family val="2"/>
      </rPr>
      <t xml:space="preserve"> 12X36HS - NOTURNO - COM 02 ATENDENTE POR POSTO</t>
    </r>
  </si>
  <si>
    <t>EMPRESA BRASILEIRA DE SERVIÇOS HOSPITALARES</t>
  </si>
  <si>
    <t>HOSPITAL UNIVERSITÁRIO DA UNIVERSIDADE FEDERAL DO MARANHÃO</t>
  </si>
  <si>
    <t>GERÊNCIA ADMINISTRATIVA</t>
  </si>
  <si>
    <t>SETOR DE ADMINISTRAÇÃO</t>
  </si>
  <si>
    <t>COMISSÃO DE ANÁLISE DE PLANILHAS DE CUSTOS E FORMAÇÃO DE PREÇOS</t>
  </si>
  <si>
    <t>01 de Janeiro</t>
  </si>
  <si>
    <t>CALÇA DE SARJA</t>
  </si>
  <si>
    <t>CAMISA “POLO”</t>
  </si>
  <si>
    <t>COR BRANCA, COM MANGAS CURTAS, GOLA MODELO “POLO” E EMBLEMA DA EMPRESA BORDADO NO LADO SUPERIOR ESQUERDO.</t>
  </si>
  <si>
    <t>SAPATOS</t>
  </si>
  <si>
    <t>CRACHÁ</t>
  </si>
  <si>
    <r>
      <t xml:space="preserve">POSTO </t>
    </r>
    <r>
      <rPr>
        <b/>
        <sz val="10"/>
        <color theme="1"/>
        <rFont val="Tahoma"/>
        <family val="2"/>
      </rPr>
      <t>GOVERNANTA</t>
    </r>
    <r>
      <rPr>
        <sz val="10"/>
        <color indexed="8"/>
        <rFont val="Tahoma"/>
        <family val="2"/>
      </rPr>
      <t xml:space="preserve"> 12X36HS - DIURNO - COM 02 GOVERNATA POR POSTO</t>
    </r>
  </si>
  <si>
    <t>Carregador</t>
  </si>
  <si>
    <r>
      <t xml:space="preserve">POSTO </t>
    </r>
    <r>
      <rPr>
        <b/>
        <sz val="10"/>
        <color theme="1"/>
        <rFont val="Tahoma"/>
        <family val="2"/>
      </rPr>
      <t>CONTÍNUO</t>
    </r>
    <r>
      <rPr>
        <sz val="10"/>
        <color indexed="8"/>
        <rFont val="Tahoma"/>
        <family val="2"/>
      </rPr>
      <t xml:space="preserve"> 44HS SEMANAIS - COM 01 CONTÍNUO POR POSTO</t>
    </r>
  </si>
  <si>
    <t>CAMISA SOCIAL</t>
  </si>
  <si>
    <t>CINTO</t>
  </si>
  <si>
    <t>COR PRETA, TIPO SOCIAL, DE COURO, COM FIVELA EM METAL E GARRA REGULÁVEL.</t>
  </si>
  <si>
    <t>COR VERDE (PANTONE 376 C OU SIMILAR), EM CREPE COXHIBO OU SIMILAR, TIPO LAÇO COM ENTRETELA COMPATÍVEL COM O MODELO.</t>
  </si>
  <si>
    <t>ITEM</t>
  </si>
  <si>
    <t>DESCRIÇÃO DO PRODUTO</t>
  </si>
  <si>
    <t>UNID.</t>
  </si>
  <si>
    <t>VALOR UNIT.</t>
  </si>
  <si>
    <t>ESTIMATIVA DE CONSUMO MENSAL</t>
  </si>
  <si>
    <t>AÇÚCAR, TIPO CRISTAL, ORIGEM VEGETAL, SACAROSE DE CANA DE AÇÚCAR, APLICAÇÃO ADOÇANTE, CARACTERÍSTICA ADICIONAL DE 1ª QUALIDADE.</t>
  </si>
  <si>
    <t>KG</t>
  </si>
  <si>
    <t>ÁGUA SANITÁRIA.</t>
  </si>
  <si>
    <t>L</t>
  </si>
  <si>
    <t>UND</t>
  </si>
  <si>
    <t>PCT</t>
  </si>
  <si>
    <t>CAFÉ EM PÓ HOMOGÊNEO, TORRADO E MOÍDO, DE QUALIDADE TIPO “SUPERIOR”, CONDICIONADO EM EMBALAGEM A VÁCUO PURO ALUMINIZADA, VALIDADE DE PRAZO MÍNIMO DE 1 ANO, SENDO EXTRA FORTE.</t>
  </si>
  <si>
    <t>COPO DESCARTÁVEL PARA CAFÉ CONFECCIONADO COM RESINA TERMOPLÁSTICA BRANCA OU TRANSLÚCIDA COM CAPACIDADE APROXIMADA DE 50 ML, MEDINDO APROXIMADAMENTE 5 CM DE DIÂMETRO NA BOCA, 3,5 DE DIÂMETRO NO FUNDO E 4 CM DE ALTURA.</t>
  </si>
  <si>
    <t>COPO DESCARTÁVEL PARA ÁGUA CONFECCIONADO COM RESINA TERMOPLÁSTICA BRANCA OU TRANSLÚCIDA COM CAPACIDADE MÍNIMA DE 180 ML E MÁXIMA 200 ML, MEDINDO APROXIMADAMENTE 7 CM DE DIÂMETRO NA BOCA, 4,5 DE DIÂMETRO NO FUNDO E 8 CM DE ALTURA.</t>
  </si>
  <si>
    <t>DETERGENTE BIODEGRADÁVEL TIPO MULTIUSO (500 ML).</t>
  </si>
  <si>
    <t>DETERGENTE BIODEGRADÁVEL LIQUIDO (500 ML).</t>
  </si>
  <si>
    <t>PAPEL TOALHA EM CELULOSE VIRGEM, ALTO ALVURA, BRANCO, FOLHA DUPLA, MACIO, 20X22CM.</t>
  </si>
  <si>
    <t>PANO DE PRATO EM TECIDO ALGODÃO BRANCO.</t>
  </si>
  <si>
    <r>
      <t>POSTO</t>
    </r>
    <r>
      <rPr>
        <b/>
        <sz val="10"/>
        <color indexed="8"/>
        <rFont val="Tahoma"/>
        <family val="2"/>
      </rPr>
      <t xml:space="preserve"> AUX. DE APOIO ADM. </t>
    </r>
    <r>
      <rPr>
        <sz val="10"/>
        <color rgb="FF000000"/>
        <rFont val="Tahoma"/>
        <family val="2"/>
      </rPr>
      <t>12 X 36</t>
    </r>
    <r>
      <rPr>
        <sz val="10"/>
        <color indexed="8"/>
        <rFont val="Tahoma"/>
        <family val="2"/>
      </rPr>
      <t xml:space="preserve"> DIURNO - COM 02 AUXILIAR POR POSTO</t>
    </r>
  </si>
  <si>
    <t>Aux. De Estacionamento</t>
  </si>
  <si>
    <r>
      <t>POSTO</t>
    </r>
    <r>
      <rPr>
        <b/>
        <sz val="10"/>
        <color indexed="8"/>
        <rFont val="Tahoma"/>
        <family val="2"/>
      </rPr>
      <t xml:space="preserve"> AUX. DE ESTACIONAMENTO </t>
    </r>
    <r>
      <rPr>
        <sz val="10"/>
        <color rgb="FF000000"/>
        <rFont val="Tahoma"/>
        <family val="2"/>
      </rPr>
      <t>44 HS SEMANAIS</t>
    </r>
    <r>
      <rPr>
        <sz val="10"/>
        <color indexed="8"/>
        <rFont val="Tahoma"/>
        <family val="2"/>
      </rPr>
      <t xml:space="preserve"> - COM 01 AUXILIAR POR POSTO</t>
    </r>
  </si>
  <si>
    <t>CCT 2021/2021
SEAC-MA
MTE n.º MA00027/2021</t>
  </si>
  <si>
    <t>Governanta</t>
  </si>
  <si>
    <t>Contínuo</t>
  </si>
  <si>
    <t>18:00hs-00:00hs (Noturno)</t>
  </si>
  <si>
    <t>00:00hs-06:00hs (Noturno)</t>
  </si>
  <si>
    <t xml:space="preserve">Atendente </t>
  </si>
  <si>
    <t xml:space="preserve">Copeiro </t>
  </si>
  <si>
    <r>
      <t xml:space="preserve">POSTO </t>
    </r>
    <r>
      <rPr>
        <b/>
        <sz val="10"/>
        <color theme="1"/>
        <rFont val="Tahoma"/>
        <family val="2"/>
      </rPr>
      <t>CARREGADOR</t>
    </r>
    <r>
      <rPr>
        <sz val="10"/>
        <color indexed="8"/>
        <rFont val="Tahoma"/>
        <family val="2"/>
      </rPr>
      <t xml:space="preserve"> 44HS SEMANAIS - COM 01 CARREGADOR POR POSTO</t>
    </r>
  </si>
  <si>
    <r>
      <t xml:space="preserve">POSTO </t>
    </r>
    <r>
      <rPr>
        <b/>
        <sz val="10"/>
        <color indexed="8"/>
        <rFont val="Tahoma"/>
        <family val="2"/>
      </rPr>
      <t>ATENDENTE</t>
    </r>
    <r>
      <rPr>
        <sz val="10"/>
        <color indexed="8"/>
        <rFont val="Tahoma"/>
        <family val="2"/>
      </rPr>
      <t xml:space="preserve"> 44HS - SEMANAIS - COM 01 ATENDENTE POR POSTO</t>
    </r>
  </si>
  <si>
    <r>
      <t xml:space="preserve">POSTO </t>
    </r>
    <r>
      <rPr>
        <b/>
        <sz val="10"/>
        <color indexed="8"/>
        <rFont val="Tahoma"/>
        <family val="2"/>
      </rPr>
      <t>TELEFONISTA</t>
    </r>
    <r>
      <rPr>
        <sz val="10"/>
        <color indexed="8"/>
        <rFont val="Tahoma"/>
        <family val="2"/>
      </rPr>
      <t xml:space="preserve"> 36HS (18:00HS-00:00HS) NOTURNO - COM 01 TELEFONISTA POR POSTO</t>
    </r>
  </si>
  <si>
    <r>
      <t xml:space="preserve">POSTO </t>
    </r>
    <r>
      <rPr>
        <b/>
        <sz val="10"/>
        <color indexed="8"/>
        <rFont val="Tahoma"/>
        <family val="2"/>
      </rPr>
      <t>TELEFONISTA</t>
    </r>
    <r>
      <rPr>
        <sz val="10"/>
        <color indexed="8"/>
        <rFont val="Tahoma"/>
        <family val="2"/>
      </rPr>
      <t xml:space="preserve"> 36HS (00:00HS-06:00HS) NOTURNO - COM 01 TELEFONISTA POR POSTO</t>
    </r>
  </si>
  <si>
    <r>
      <t xml:space="preserve">POSTO </t>
    </r>
    <r>
      <rPr>
        <b/>
        <sz val="10"/>
        <color theme="1"/>
        <rFont val="Tahoma"/>
        <family val="2"/>
      </rPr>
      <t>GOVERNANTA</t>
    </r>
    <r>
      <rPr>
        <sz val="10"/>
        <color indexed="8"/>
        <rFont val="Tahoma"/>
        <family val="2"/>
      </rPr>
      <t xml:space="preserve"> 12X36HS - NOTURNO - COM 02 GOVERNATA POR POSTO</t>
    </r>
  </si>
  <si>
    <r>
      <t xml:space="preserve">POSTO </t>
    </r>
    <r>
      <rPr>
        <b/>
        <sz val="10"/>
        <color theme="1"/>
        <rFont val="Tahoma"/>
        <family val="2"/>
      </rPr>
      <t>COPEIRO</t>
    </r>
    <r>
      <rPr>
        <sz val="10"/>
        <color indexed="8"/>
        <rFont val="Tahoma"/>
        <family val="2"/>
      </rPr>
      <t xml:space="preserve"> 44HS SEMANAIS - COM 01 COPEIRO POR POSTO</t>
    </r>
  </si>
  <si>
    <t>CX COM 10 UND</t>
  </si>
  <si>
    <t>LIMPA INOX (500 ML).</t>
  </si>
  <si>
    <t>PANO DE CHÃO EM TECIDO ALGODÃO BRANCO.</t>
  </si>
  <si>
    <t>PLANILHA DE COMPOSIÇÃO DE CUSTOS DE UTENSILIOS - COPEIRA (CONSUMO ANUAL)</t>
  </si>
  <si>
    <t>VALOR MENSAL</t>
  </si>
  <si>
    <t>COR BRANCA, COM MANGAS COMPRIDAS E PUNHO SIMPLES, GOLA COM ENTRETELA E EMBLEMA DA EMPRESA BORDADO NO LADO SUPERIOR ESQUERDO, FECHAMENTO FRONTRAL.</t>
  </si>
  <si>
    <t>COR CINZA COM MANGAS CURTAS, GOLA MODELO “POLO” E EMBLEMA DA EMPRESA BORDADO NO LADO SUPERIOR ESQUERDO.</t>
  </si>
  <si>
    <t>CARREGADOR</t>
  </si>
  <si>
    <t>QUANTIDADE ANUAL POR EMPREGADO</t>
  </si>
  <si>
    <t>EQUIPAMENTOS DE PROTEÇÃO INDIVIDUAL - EPI</t>
  </si>
  <si>
    <t>01 PAR DE BOTAS DE SEGURANÇA COM BIQUEIRA EM POLIURETANO.</t>
  </si>
  <si>
    <t>LUVAS</t>
  </si>
  <si>
    <t>MÁSCARA</t>
  </si>
  <si>
    <t>CINTA</t>
  </si>
  <si>
    <t>ÓCULOS</t>
  </si>
  <si>
    <t xml:space="preserve">VALOR TOTAL 
</t>
  </si>
  <si>
    <t>VALOR TOTAL MENSAL POR FUNCIONÁRIO</t>
  </si>
  <si>
    <t>UNIFORMES</t>
  </si>
  <si>
    <t>ESTIMATIVA DE CONSUMO ANUAL</t>
  </si>
  <si>
    <t>PLANILHA DE COMPOSIÇÃO DE CUSTOS DE MATERIAS DE CONSUMO - COPEIRA (CONSUMO MENSAL)</t>
  </si>
  <si>
    <t>CALÇA: COMPRIDA, COR AZUL MARINHO, MODELO SOCIAL, COM BRAGUILHA FORRADA, 02 BOLSOS LATERAIS, 02 TRASEIROS E PRESILHAS PARA CINTO. 
SAIA: COMPRIDA, COR AZUL MARINHO, MODELO SOCIAL FEMININO, COM FECHAMENTO FRONTAL POR ZÍPER. SAIA COM COMPRIMENTO NO JOELHO, COR AZUL MARINHO.</t>
  </si>
  <si>
    <t>CRACHÁ EM PVC.</t>
  </si>
  <si>
    <t>COR PREDOMINANTEMENTE PRETA EM COURO.</t>
  </si>
  <si>
    <t>01 ÓCULOS DE PROTEÇÃO A CADA 03 MESES.</t>
  </si>
  <si>
    <t>01 CINTA DE SEGURANÇA DE PROTEÇÃO A COLUNA POR SEMESTRE.</t>
  </si>
  <si>
    <t xml:space="preserve"> 01 MÁSCARA SEMI-FACIAL COM FILTRO PARA POEIRAS (PARA LOCAIS COM EXCESSO DE POEIRA) PARA O TRIMESTRE, COM TROCA DE FILTRO.</t>
  </si>
  <si>
    <t>PAR DE LUVAS DE MALHA (NO MANUSEIO DE CAIXAS E SUPERFÍCIES CORTANTES/ABRASIVAS).</t>
  </si>
  <si>
    <t>CALÇA / SAIA</t>
  </si>
  <si>
    <t>GRAVATA / LENÇO</t>
  </si>
  <si>
    <t>MODELO 01: COR PRETA, TIPO SOCIAL, DE COURO.
MODELO 02: COR PRETA, SOCIAL, SALTO BAIXO, DE COURO, MODELO "SCARPIN" OU BONECA.</t>
  </si>
  <si>
    <t>COMPRIDA, COR AZUL MARINHO, COM BRAGUILHA FORRADA, 02 BOLSOS LATERAIS, 02 BOLSOS TRASEIROS.</t>
  </si>
  <si>
    <t>GOVERNANTA / COPEIRO</t>
  </si>
  <si>
    <t>CENTO</t>
  </si>
  <si>
    <t>ADOÇANTE, TIPO SACAROSE, COM BICO DOSADOR (100ML).</t>
  </si>
  <si>
    <t>ÁLCOOL LÍQUIDO.</t>
  </si>
  <si>
    <t>CHÁ EM SAQUINHOS (SABORES: camomila, erva doce, boldo, cidreira, hortelã) EMBALADOS INDIVIDUALMENTE.</t>
  </si>
  <si>
    <t>COADOR DE PANO PARA CAFÉ.</t>
  </si>
  <si>
    <t>PALHA DE AÇO Nº 01.</t>
  </si>
  <si>
    <t>ESPONJA DE ESPUMA, TIPO DUPLA FACE.</t>
  </si>
  <si>
    <t>SABÃO EM BARRA.</t>
  </si>
  <si>
    <t>GUARDANAPO.</t>
  </si>
  <si>
    <t>COLHER DESCARTÁVEL.</t>
  </si>
  <si>
    <t>PRATO DESCARTÁVEL.</t>
  </si>
  <si>
    <t>ROLO DE FILME PVC.</t>
  </si>
  <si>
    <t>COLHER PARA SERVIR GRANDE EM AÇO.</t>
  </si>
  <si>
    <t>CANECA BIONA DONNA JUMBO CERÂMICA PRETA 740ML.</t>
  </si>
  <si>
    <t>GARRAFA TÉRMICA PARA CHÁ.</t>
  </si>
  <si>
    <t>LIQUIDIFICADOR.</t>
  </si>
  <si>
    <t>COLHER 30CM LONGA INOX PARA MEXER SUCO.</t>
  </si>
  <si>
    <t>CAFETEIRA ELÉTRICA INDUSTRIAL .</t>
  </si>
  <si>
    <t>CAIXA ORGANIZADORA RETANGULAR COM TAMPA.</t>
  </si>
  <si>
    <t>AMPOLA DE REPOSIÇÃO PARA GARRAFA TÉRMICA.</t>
  </si>
  <si>
    <t>JARRAS PARA SUCO PLÁSTICO.</t>
  </si>
  <si>
    <t>JOGO DE TALHER EM INOX 24 PEÇAS (GARFO E FACA) + 12 COLHERES.</t>
  </si>
  <si>
    <t>JARRA DE VIDRO PARA SUCO OU ÁGUA 1300ML.</t>
  </si>
  <si>
    <t>CONJUNTO COM 5 POTES MANTIMENTO QUADRADA MÉDIO.</t>
  </si>
  <si>
    <t>-</t>
  </si>
  <si>
    <t>PESQUISA DE MERCADO (2021)</t>
  </si>
  <si>
    <t>Agente de Portaria</t>
  </si>
  <si>
    <t>CCT 2021/2021
SINDVIGIAS-MA
MTE n.º MA00028/2021</t>
  </si>
  <si>
    <t>Adicional Noturno (22h às 05h) - 20% (Art. 73. da CLT)</t>
  </si>
  <si>
    <r>
      <t xml:space="preserve">POSTO </t>
    </r>
    <r>
      <rPr>
        <b/>
        <sz val="10"/>
        <color theme="1"/>
        <rFont val="Tahoma"/>
        <family val="2"/>
      </rPr>
      <t>AGENTE DE PORTARIA</t>
    </r>
    <r>
      <rPr>
        <sz val="10"/>
        <color indexed="8"/>
        <rFont val="Tahoma"/>
        <family val="2"/>
      </rPr>
      <t xml:space="preserve"> 12X36 HS- DIURNO - COM 02 AGENTE DE PORTARIA POR POSTO</t>
    </r>
  </si>
  <si>
    <r>
      <t xml:space="preserve">POSTO </t>
    </r>
    <r>
      <rPr>
        <b/>
        <sz val="10"/>
        <color theme="1"/>
        <rFont val="Tahoma"/>
        <family val="2"/>
      </rPr>
      <t>AGENTE DE PORTARIA</t>
    </r>
    <r>
      <rPr>
        <sz val="10"/>
        <color indexed="8"/>
        <rFont val="Tahoma"/>
        <family val="2"/>
      </rPr>
      <t xml:space="preserve"> 12X36 HS- NOTURNO - COM 02 AGENTE DE PORTARIA POR POSTO</t>
    </r>
  </si>
  <si>
    <t>Auxílio-Refeição</t>
  </si>
  <si>
    <t xml:space="preserve">Adicional de Insalubridade </t>
  </si>
  <si>
    <t>VALOR TOTAL ANUAL</t>
  </si>
  <si>
    <t>Transporte: (Percentual de Dedução - 6%) - (Decreto 95.247/97)</t>
  </si>
  <si>
    <t>CONTÍNUO / RECEPCIONISTA / ATENDENTE /AUX. DE APOIO ADMINISTRATIVO / TELEFONISTA / AUX. DE ESTACIONAMENTO/AGENTE DE PORTARIA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</si>
</sst>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[$R$-416]\ #,##0.00;[Red]\-[$R$-416]\ #,##0.00"/>
    <numFmt numFmtId="168" formatCode="&quot; R$&quot;#,##0.00\ ;&quot; R$(&quot;#,##0.00\);&quot; R$-&quot;#\ ;@\ "/>
    <numFmt numFmtId="169" formatCode="_(* #,##0.00_);_(* \(#,##0.00\);_(* \-??_);_(@_)"/>
    <numFmt numFmtId="170" formatCode="0.000%"/>
    <numFmt numFmtId="171" formatCode="0.0000"/>
  </numFmts>
  <fonts count="35"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sz val="11"/>
      <color indexed="8"/>
      <name val="Arial"/>
      <family val="2"/>
    </font>
    <font>
      <sz val="10"/>
      <color indexed="8"/>
      <name val="Arial1"/>
    </font>
    <font>
      <b/>
      <i/>
      <sz val="16"/>
      <color indexed="8"/>
      <name val="Arial"/>
      <family val="2"/>
    </font>
    <font>
      <b/>
      <i/>
      <u/>
      <sz val="11"/>
      <color indexed="8"/>
      <name val="Arial"/>
      <family val="2"/>
    </font>
    <font>
      <b/>
      <sz val="11"/>
      <name val="Calibri"/>
      <family val="2"/>
    </font>
    <font>
      <b/>
      <sz val="10"/>
      <color indexed="8"/>
      <name val="Tahoma"/>
      <family val="2"/>
    </font>
    <font>
      <sz val="10"/>
      <color indexed="8"/>
      <name val="Tahoma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ahoma"/>
      <family val="2"/>
    </font>
    <font>
      <i/>
      <sz val="1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ahoma"/>
      <family val="2"/>
    </font>
    <font>
      <b/>
      <sz val="8"/>
      <color theme="1"/>
      <name val="Tahoma"/>
      <family val="2"/>
    </font>
    <font>
      <b/>
      <sz val="10"/>
      <color theme="1"/>
      <name val="Tahoma"/>
      <family val="2"/>
    </font>
    <font>
      <b/>
      <sz val="18"/>
      <color theme="1"/>
      <name val="Calibri"/>
      <family val="2"/>
      <scheme val="minor"/>
    </font>
    <font>
      <b/>
      <sz val="14"/>
      <color indexed="8"/>
      <name val="Calibri"/>
      <family val="2"/>
    </font>
    <font>
      <sz val="10"/>
      <color rgb="FF000000"/>
      <name val="Calibri"/>
      <family val="2"/>
    </font>
    <font>
      <sz val="10"/>
      <color rgb="FF000000"/>
      <name val="Tahoma"/>
      <family val="2"/>
    </font>
    <font>
      <b/>
      <sz val="11"/>
      <color indexed="8"/>
      <name val="Calibri"/>
      <family val="2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6"/>
      <color theme="1"/>
      <name val="Tahoma"/>
      <family val="2"/>
    </font>
    <font>
      <b/>
      <sz val="16"/>
      <color indexed="8"/>
      <name val="Calibri"/>
      <family val="2"/>
    </font>
    <font>
      <sz val="12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32">
    <xf numFmtId="0" fontId="0" fillId="0" borderId="0"/>
    <xf numFmtId="0" fontId="2" fillId="0" borderId="0" applyNumberFormat="0" applyBorder="0" applyProtection="0"/>
    <xf numFmtId="168" fontId="5" fillId="0" borderId="0" applyBorder="0" applyProtection="0"/>
    <xf numFmtId="9" fontId="5" fillId="0" borderId="0" applyBorder="0" applyProtection="0"/>
    <xf numFmtId="0" fontId="6" fillId="0" borderId="0" applyNumberFormat="0" applyBorder="0" applyProtection="0">
      <alignment horizontal="center"/>
    </xf>
    <xf numFmtId="0" fontId="6" fillId="0" borderId="0" applyNumberFormat="0" applyBorder="0" applyProtection="0">
      <alignment horizontal="center" textRotation="90"/>
    </xf>
    <xf numFmtId="44" fontId="12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2" fillId="0" borderId="0"/>
    <xf numFmtId="0" fontId="1" fillId="0" borderId="0"/>
    <xf numFmtId="0" fontId="5" fillId="0" borderId="0" applyNumberFormat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Border="0" applyProtection="0"/>
    <xf numFmtId="167" fontId="7" fillId="0" borderId="0" applyBorder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9" fontId="1" fillId="0" borderId="0" applyFill="0" applyBorder="0" applyAlignment="0" applyProtection="0"/>
    <xf numFmtId="0" fontId="3" fillId="0" borderId="1" applyNumberFormat="0" applyFill="0" applyAlignment="0" applyProtection="0"/>
    <xf numFmtId="43" fontId="12" fillId="0" borderId="0" applyFont="0" applyFill="0" applyBorder="0" applyAlignment="0" applyProtection="0"/>
  </cellStyleXfs>
  <cellXfs count="266">
    <xf numFmtId="0" fontId="0" fillId="0" borderId="0" xfId="0"/>
    <xf numFmtId="43" fontId="15" fillId="0" borderId="2" xfId="7" applyNumberFormat="1" applyFont="1" applyFill="1" applyBorder="1" applyAlignment="1">
      <alignment vertical="center"/>
    </xf>
    <xf numFmtId="43" fontId="16" fillId="0" borderId="2" xfId="7" applyNumberFormat="1" applyFont="1" applyFill="1" applyBorder="1" applyAlignment="1">
      <alignment vertical="center"/>
    </xf>
    <xf numFmtId="10" fontId="15" fillId="0" borderId="2" xfId="22" applyNumberFormat="1" applyFont="1" applyFill="1" applyBorder="1" applyAlignment="1">
      <alignment vertical="center"/>
    </xf>
    <xf numFmtId="10" fontId="16" fillId="0" borderId="2" xfId="22" applyNumberFormat="1" applyFont="1" applyFill="1" applyBorder="1" applyAlignment="1">
      <alignment vertical="center"/>
    </xf>
    <xf numFmtId="0" fontId="15" fillId="0" borderId="0" xfId="21" applyFont="1"/>
    <xf numFmtId="0" fontId="15" fillId="0" borderId="0" xfId="21" applyFont="1" applyBorder="1"/>
    <xf numFmtId="0" fontId="0" fillId="0" borderId="0" xfId="0" applyFill="1"/>
    <xf numFmtId="0" fontId="17" fillId="0" borderId="2" xfId="0" applyFont="1" applyBorder="1" applyAlignment="1">
      <alignment horizontal="center" vertical="center"/>
    </xf>
    <xf numFmtId="44" fontId="17" fillId="0" borderId="2" xfId="6" applyFont="1" applyBorder="1" applyAlignment="1">
      <alignment horizontal="center" vertical="center"/>
    </xf>
    <xf numFmtId="44" fontId="12" fillId="0" borderId="0" xfId="6" applyFont="1" applyFill="1"/>
    <xf numFmtId="0" fontId="17" fillId="0" borderId="0" xfId="0" applyFont="1" applyAlignment="1">
      <alignment vertical="center"/>
    </xf>
    <xf numFmtId="44" fontId="15" fillId="0" borderId="2" xfId="6" applyFont="1" applyFill="1" applyBorder="1" applyAlignment="1">
      <alignment vertical="center"/>
    </xf>
    <xf numFmtId="10" fontId="15" fillId="0" borderId="2" xfId="22" applyNumberFormat="1" applyFont="1" applyFill="1" applyBorder="1" applyAlignment="1">
      <alignment horizontal="center" vertical="center"/>
    </xf>
    <xf numFmtId="43" fontId="17" fillId="0" borderId="2" xfId="0" applyNumberFormat="1" applyFont="1" applyBorder="1" applyAlignment="1">
      <alignment horizontal="center" vertical="center"/>
    </xf>
    <xf numFmtId="0" fontId="15" fillId="0" borderId="3" xfId="21" applyFont="1" applyBorder="1"/>
    <xf numFmtId="0" fontId="15" fillId="0" borderId="3" xfId="21" applyFont="1" applyFill="1" applyBorder="1"/>
    <xf numFmtId="9" fontId="15" fillId="0" borderId="2" xfId="21" applyNumberFormat="1" applyFont="1" applyFill="1" applyBorder="1" applyAlignment="1">
      <alignment horizontal="center" vertical="center" wrapText="1"/>
    </xf>
    <xf numFmtId="10" fontId="15" fillId="0" borderId="2" xfId="3" applyNumberFormat="1" applyFont="1" applyFill="1" applyBorder="1" applyAlignment="1" applyProtection="1">
      <alignment horizontal="right" vertical="center" wrapText="1"/>
    </xf>
    <xf numFmtId="0" fontId="16" fillId="0" borderId="0" xfId="21" applyFont="1"/>
    <xf numFmtId="170" fontId="15" fillId="0" borderId="2" xfId="22" applyNumberFormat="1" applyFont="1" applyFill="1" applyBorder="1" applyAlignment="1">
      <alignment vertical="center"/>
    </xf>
    <xf numFmtId="0" fontId="16" fillId="0" borderId="0" xfId="21" applyFont="1" applyFill="1" applyBorder="1" applyAlignment="1">
      <alignment vertical="center" wrapText="1"/>
    </xf>
    <xf numFmtId="43" fontId="18" fillId="0" borderId="0" xfId="21" applyNumberFormat="1" applyFont="1"/>
    <xf numFmtId="43" fontId="16" fillId="0" borderId="0" xfId="21" applyNumberFormat="1" applyFont="1"/>
    <xf numFmtId="171" fontId="13" fillId="0" borderId="0" xfId="21" applyNumberFormat="1" applyFont="1"/>
    <xf numFmtId="43" fontId="19" fillId="0" borderId="0" xfId="21" applyNumberFormat="1" applyFont="1"/>
    <xf numFmtId="43" fontId="19" fillId="0" borderId="0" xfId="31" applyNumberFormat="1" applyFont="1" applyFill="1" applyBorder="1" applyAlignment="1">
      <alignment vertical="center" wrapText="1"/>
    </xf>
    <xf numFmtId="43" fontId="15" fillId="0" borderId="0" xfId="21" applyNumberFormat="1" applyFont="1" applyBorder="1"/>
    <xf numFmtId="44" fontId="16" fillId="0" borderId="2" xfId="6" applyNumberFormat="1" applyFont="1" applyFill="1" applyBorder="1" applyAlignment="1">
      <alignment vertical="center"/>
    </xf>
    <xf numFmtId="44" fontId="15" fillId="0" borderId="2" xfId="6" applyNumberFormat="1" applyFont="1" applyFill="1" applyBorder="1" applyAlignment="1">
      <alignment vertical="center"/>
    </xf>
    <xf numFmtId="0" fontId="17" fillId="0" borderId="0" xfId="0" applyFont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44" fontId="17" fillId="0" borderId="5" xfId="6" applyFont="1" applyBorder="1" applyAlignment="1">
      <alignment horizontal="center" vertical="center"/>
    </xf>
    <xf numFmtId="44" fontId="16" fillId="0" borderId="6" xfId="6" applyNumberFormat="1" applyFont="1" applyFill="1" applyBorder="1" applyAlignment="1">
      <alignment vertical="center"/>
    </xf>
    <xf numFmtId="0" fontId="16" fillId="0" borderId="4" xfId="14" applyFont="1" applyFill="1" applyBorder="1" applyAlignment="1">
      <alignment horizontal="center" vertical="center" wrapText="1"/>
    </xf>
    <xf numFmtId="10" fontId="16" fillId="0" borderId="6" xfId="22" applyNumberFormat="1" applyFont="1" applyFill="1" applyBorder="1" applyAlignment="1">
      <alignment vertical="center"/>
    </xf>
    <xf numFmtId="43" fontId="16" fillId="0" borderId="6" xfId="7" applyNumberFormat="1" applyFont="1" applyFill="1" applyBorder="1" applyAlignment="1">
      <alignment vertical="center"/>
    </xf>
    <xf numFmtId="0" fontId="16" fillId="0" borderId="7" xfId="21" applyFont="1" applyFill="1" applyBorder="1" applyAlignment="1">
      <alignment horizontal="center" vertical="center" wrapText="1"/>
    </xf>
    <xf numFmtId="167" fontId="16" fillId="0" borderId="8" xfId="21" applyNumberFormat="1" applyFont="1" applyFill="1" applyBorder="1" applyAlignment="1">
      <alignment horizontal="center" vertical="center" wrapText="1"/>
    </xf>
    <xf numFmtId="167" fontId="16" fillId="0" borderId="9" xfId="21" applyNumberFormat="1" applyFont="1" applyFill="1" applyBorder="1" applyAlignment="1">
      <alignment horizontal="center" vertical="center" wrapText="1"/>
    </xf>
    <xf numFmtId="0" fontId="15" fillId="0" borderId="0" xfId="21" applyFont="1" applyFill="1"/>
    <xf numFmtId="44" fontId="17" fillId="0" borderId="2" xfId="6" applyFont="1" applyFill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43" fontId="17" fillId="0" borderId="10" xfId="0" applyNumberFormat="1" applyFont="1" applyBorder="1" applyAlignment="1">
      <alignment horizontal="center" vertical="center"/>
    </xf>
    <xf numFmtId="44" fontId="15" fillId="0" borderId="5" xfId="6" applyFont="1" applyFill="1" applyBorder="1" applyAlignment="1">
      <alignment vertical="center"/>
    </xf>
    <xf numFmtId="0" fontId="15" fillId="0" borderId="0" xfId="21" applyFont="1" applyFill="1" applyBorder="1"/>
    <xf numFmtId="0" fontId="15" fillId="0" borderId="2" xfId="21" applyFont="1" applyFill="1" applyBorder="1" applyAlignment="1">
      <alignment horizontal="right" vertical="center" wrapText="1"/>
    </xf>
    <xf numFmtId="43" fontId="16" fillId="0" borderId="5" xfId="7" applyNumberFormat="1" applyFont="1" applyFill="1" applyBorder="1" applyAlignment="1">
      <alignment vertical="center"/>
    </xf>
    <xf numFmtId="43" fontId="15" fillId="0" borderId="5" xfId="7" applyNumberFormat="1" applyFont="1" applyFill="1" applyBorder="1" applyAlignment="1">
      <alignment vertical="center"/>
    </xf>
    <xf numFmtId="43" fontId="16" fillId="0" borderId="11" xfId="7" applyNumberFormat="1" applyFont="1" applyFill="1" applyBorder="1" applyAlignment="1">
      <alignment vertical="center"/>
    </xf>
    <xf numFmtId="0" fontId="22" fillId="3" borderId="12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/>
    </xf>
    <xf numFmtId="0" fontId="22" fillId="3" borderId="13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15" fillId="4" borderId="2" xfId="21" applyFont="1" applyFill="1" applyBorder="1" applyAlignment="1">
      <alignment horizontal="right" vertical="center" wrapText="1"/>
    </xf>
    <xf numFmtId="44" fontId="16" fillId="4" borderId="2" xfId="6" applyFont="1" applyFill="1" applyBorder="1" applyAlignment="1">
      <alignment vertical="center"/>
    </xf>
    <xf numFmtId="44" fontId="15" fillId="0" borderId="5" xfId="6" applyNumberFormat="1" applyFont="1" applyFill="1" applyBorder="1" applyAlignment="1">
      <alignment vertical="center"/>
    </xf>
    <xf numFmtId="44" fontId="16" fillId="0" borderId="11" xfId="6" applyNumberFormat="1" applyFont="1" applyFill="1" applyBorder="1" applyAlignment="1">
      <alignment vertical="center"/>
    </xf>
    <xf numFmtId="0" fontId="15" fillId="0" borderId="2" xfId="21" applyFont="1" applyBorder="1"/>
    <xf numFmtId="0" fontId="15" fillId="0" borderId="5" xfId="21" applyFont="1" applyBorder="1"/>
    <xf numFmtId="44" fontId="16" fillId="0" borderId="5" xfId="6" applyNumberFormat="1" applyFont="1" applyFill="1" applyBorder="1" applyAlignment="1">
      <alignment vertical="center"/>
    </xf>
    <xf numFmtId="44" fontId="16" fillId="0" borderId="5" xfId="21" applyNumberFormat="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/>
    </xf>
    <xf numFmtId="0" fontId="15" fillId="0" borderId="0" xfId="21" applyFont="1" applyFill="1" applyBorder="1" applyAlignment="1">
      <alignment horizontal="center" vertical="center" wrapText="1"/>
    </xf>
    <xf numFmtId="167" fontId="16" fillId="4" borderId="8" xfId="21" applyNumberFormat="1" applyFont="1" applyFill="1" applyBorder="1" applyAlignment="1">
      <alignment horizontal="center" vertical="center" wrapText="1"/>
    </xf>
    <xf numFmtId="44" fontId="15" fillId="4" borderId="2" xfId="6" applyNumberFormat="1" applyFont="1" applyFill="1" applyBorder="1" applyAlignment="1">
      <alignment vertical="center"/>
    </xf>
    <xf numFmtId="167" fontId="16" fillId="4" borderId="2" xfId="21" applyNumberFormat="1" applyFont="1" applyFill="1" applyBorder="1" applyAlignment="1">
      <alignment horizontal="center" vertical="center"/>
    </xf>
    <xf numFmtId="167" fontId="16" fillId="4" borderId="5" xfId="21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center" vertical="center"/>
    </xf>
    <xf numFmtId="0" fontId="25" fillId="4" borderId="0" xfId="0" applyFont="1" applyFill="1" applyAlignment="1"/>
    <xf numFmtId="0" fontId="0" fillId="0" borderId="0" xfId="0" applyAlignment="1">
      <alignment horizontal="center" vertical="center"/>
    </xf>
    <xf numFmtId="44" fontId="15" fillId="4" borderId="5" xfId="6" applyNumberFormat="1" applyFont="1" applyFill="1" applyBorder="1" applyAlignment="1">
      <alignment vertical="center"/>
    </xf>
    <xf numFmtId="0" fontId="26" fillId="0" borderId="4" xfId="0" applyFont="1" applyBorder="1" applyAlignment="1">
      <alignment vertical="center" wrapText="1"/>
    </xf>
    <xf numFmtId="0" fontId="26" fillId="0" borderId="2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44" fontId="12" fillId="0" borderId="2" xfId="6" applyBorder="1" applyAlignment="1">
      <alignment vertical="center"/>
    </xf>
    <xf numFmtId="44" fontId="12" fillId="0" borderId="5" xfId="6" applyBorder="1" applyAlignment="1">
      <alignment vertical="center"/>
    </xf>
    <xf numFmtId="0" fontId="26" fillId="0" borderId="4" xfId="0" applyFont="1" applyBorder="1"/>
    <xf numFmtId="44" fontId="14" fillId="3" borderId="5" xfId="0" applyNumberFormat="1" applyFont="1" applyFill="1" applyBorder="1"/>
    <xf numFmtId="44" fontId="14" fillId="3" borderId="11" xfId="0" applyNumberFormat="1" applyFont="1" applyFill="1" applyBorder="1"/>
    <xf numFmtId="0" fontId="26" fillId="0" borderId="2" xfId="0" applyFont="1" applyBorder="1" applyAlignment="1">
      <alignment horizontal="center" vertical="center" wrapText="1"/>
    </xf>
    <xf numFmtId="44" fontId="12" fillId="0" borderId="2" xfId="6" applyBorder="1" applyAlignment="1">
      <alignment horizontal="center" vertical="center"/>
    </xf>
    <xf numFmtId="44" fontId="12" fillId="0" borderId="5" xfId="6" applyBorder="1" applyAlignment="1">
      <alignment horizontal="center" vertical="center"/>
    </xf>
    <xf numFmtId="44" fontId="14" fillId="3" borderId="5" xfId="0" applyNumberFormat="1" applyFont="1" applyFill="1" applyBorder="1" applyAlignment="1">
      <alignment horizontal="center" vertical="center"/>
    </xf>
    <xf numFmtId="44" fontId="14" fillId="3" borderId="11" xfId="0" applyNumberFormat="1" applyFont="1" applyFill="1" applyBorder="1" applyAlignment="1">
      <alignment horizontal="center" vertical="center"/>
    </xf>
    <xf numFmtId="0" fontId="26" fillId="0" borderId="2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0" borderId="4" xfId="0" applyFont="1" applyBorder="1" applyAlignment="1">
      <alignment horizontal="left" vertical="center"/>
    </xf>
    <xf numFmtId="0" fontId="26" fillId="0" borderId="4" xfId="0" applyFont="1" applyBorder="1" applyAlignment="1">
      <alignment horizontal="left" vertical="center" wrapText="1"/>
    </xf>
    <xf numFmtId="0" fontId="15" fillId="0" borderId="0" xfId="2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44" fontId="0" fillId="0" borderId="2" xfId="0" applyNumberFormat="1" applyBorder="1" applyAlignment="1">
      <alignment horizontal="center" vertical="center"/>
    </xf>
    <xf numFmtId="44" fontId="0" fillId="0" borderId="5" xfId="0" applyNumberFormat="1" applyBorder="1" applyAlignment="1">
      <alignment horizontal="center" vertical="center"/>
    </xf>
    <xf numFmtId="44" fontId="28" fillId="3" borderId="11" xfId="0" applyNumberFormat="1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 vertical="center"/>
    </xf>
    <xf numFmtId="0" fontId="14" fillId="3" borderId="5" xfId="0" applyFont="1" applyFill="1" applyBorder="1" applyAlignment="1">
      <alignment horizontal="center" vertical="center"/>
    </xf>
    <xf numFmtId="0" fontId="29" fillId="0" borderId="2" xfId="21" applyFont="1" applyFill="1" applyBorder="1" applyAlignment="1">
      <alignment horizontal="center" vertical="center" wrapText="1"/>
    </xf>
    <xf numFmtId="43" fontId="17" fillId="4" borderId="2" xfId="0" applyNumberFormat="1" applyFont="1" applyFill="1" applyBorder="1" applyAlignment="1">
      <alignment horizontal="center" vertical="center"/>
    </xf>
    <xf numFmtId="44" fontId="17" fillId="4" borderId="2" xfId="6" applyFont="1" applyFill="1" applyBorder="1" applyAlignment="1">
      <alignment horizontal="center" vertical="center"/>
    </xf>
    <xf numFmtId="44" fontId="17" fillId="4" borderId="5" xfId="6" applyFont="1" applyFill="1" applyBorder="1" applyAlignment="1">
      <alignment horizontal="center" vertical="center"/>
    </xf>
    <xf numFmtId="0" fontId="16" fillId="0" borderId="5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/>
    </xf>
    <xf numFmtId="0" fontId="15" fillId="0" borderId="4" xfId="2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15" fillId="0" borderId="6" xfId="21" applyNumberFormat="1" applyFont="1" applyFill="1" applyBorder="1" applyAlignment="1">
      <alignment horizontal="center"/>
    </xf>
    <xf numFmtId="14" fontId="15" fillId="6" borderId="6" xfId="21" applyNumberFormat="1" applyFont="1" applyFill="1" applyBorder="1" applyAlignment="1">
      <alignment horizontal="center"/>
    </xf>
    <xf numFmtId="14" fontId="15" fillId="0" borderId="11" xfId="21" applyNumberFormat="1" applyFont="1" applyFill="1" applyBorder="1" applyAlignment="1">
      <alignment horizontal="center"/>
    </xf>
    <xf numFmtId="167" fontId="16" fillId="2" borderId="2" xfId="21" applyNumberFormat="1" applyFont="1" applyFill="1" applyBorder="1" applyAlignment="1">
      <alignment horizontal="center" vertical="center" wrapText="1"/>
    </xf>
    <xf numFmtId="0" fontId="15" fillId="0" borderId="18" xfId="21" applyFont="1" applyFill="1" applyBorder="1" applyAlignment="1">
      <alignment vertical="center" wrapText="1"/>
    </xf>
    <xf numFmtId="0" fontId="15" fillId="0" borderId="0" xfId="21" applyFont="1" applyFill="1" applyBorder="1" applyAlignment="1">
      <alignment vertical="center" wrapText="1"/>
    </xf>
    <xf numFmtId="0" fontId="16" fillId="0" borderId="0" xfId="21" applyFont="1" applyFill="1" applyBorder="1" applyAlignment="1">
      <alignment horizontal="center" vertical="center" wrapText="1"/>
    </xf>
    <xf numFmtId="0" fontId="16" fillId="2" borderId="2" xfId="21" applyFont="1" applyFill="1" applyBorder="1" applyAlignment="1">
      <alignment horizontal="center" vertical="center" wrapText="1"/>
    </xf>
    <xf numFmtId="0" fontId="16" fillId="2" borderId="5" xfId="21" applyFont="1" applyFill="1" applyBorder="1" applyAlignment="1">
      <alignment horizontal="center" vertical="center" wrapText="1"/>
    </xf>
    <xf numFmtId="44" fontId="15" fillId="7" borderId="2" xfId="6" applyNumberFormat="1" applyFont="1" applyFill="1" applyBorder="1" applyAlignment="1">
      <alignment vertical="center"/>
    </xf>
    <xf numFmtId="0" fontId="17" fillId="7" borderId="2" xfId="0" applyFont="1" applyFill="1" applyBorder="1" applyAlignment="1">
      <alignment horizontal="left" vertical="center" wrapText="1"/>
    </xf>
    <xf numFmtId="0" fontId="26" fillId="0" borderId="4" xfId="0" applyFont="1" applyBorder="1" applyAlignment="1">
      <alignment vertical="center"/>
    </xf>
    <xf numFmtId="0" fontId="26" fillId="4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0" xfId="0" applyBorder="1"/>
    <xf numFmtId="0" fontId="24" fillId="0" borderId="0" xfId="0" applyFont="1" applyFill="1" applyBorder="1" applyAlignment="1">
      <alignment vertical="center"/>
    </xf>
    <xf numFmtId="0" fontId="0" fillId="0" borderId="0" xfId="0" applyFill="1" applyBorder="1"/>
    <xf numFmtId="0" fontId="20" fillId="0" borderId="0" xfId="0" applyFont="1" applyFill="1" applyBorder="1" applyAlignment="1"/>
    <xf numFmtId="0" fontId="14" fillId="3" borderId="2" xfId="0" applyFont="1" applyFill="1" applyBorder="1" applyAlignment="1"/>
    <xf numFmtId="0" fontId="14" fillId="3" borderId="5" xfId="0" applyFont="1" applyFill="1" applyBorder="1" applyAlignment="1"/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44" fontId="14" fillId="0" borderId="21" xfId="0" applyNumberFormat="1" applyFont="1" applyBorder="1"/>
    <xf numFmtId="0" fontId="0" fillId="0" borderId="16" xfId="0" applyBorder="1"/>
    <xf numFmtId="0" fontId="0" fillId="0" borderId="17" xfId="0" applyBorder="1"/>
    <xf numFmtId="0" fontId="0" fillId="0" borderId="21" xfId="0" applyBorder="1"/>
    <xf numFmtId="0" fontId="17" fillId="0" borderId="2" xfId="0" applyFont="1" applyFill="1" applyBorder="1" applyAlignment="1">
      <alignment horizontal="center" vertical="center"/>
    </xf>
    <xf numFmtId="0" fontId="17" fillId="0" borderId="10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2" xfId="0" applyBorder="1" applyAlignment="1">
      <alignment horizontal="center" vertical="center"/>
    </xf>
    <xf numFmtId="0" fontId="28" fillId="3" borderId="4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 wrapText="1"/>
    </xf>
    <xf numFmtId="0" fontId="28" fillId="3" borderId="5" xfId="0" applyFont="1" applyFill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 wrapText="1"/>
    </xf>
    <xf numFmtId="0" fontId="21" fillId="3" borderId="6" xfId="0" applyFont="1" applyFill="1" applyBorder="1" applyAlignment="1">
      <alignment horizontal="center" vertical="center"/>
    </xf>
    <xf numFmtId="44" fontId="34" fillId="3" borderId="6" xfId="6" applyFont="1" applyFill="1" applyBorder="1" applyAlignment="1">
      <alignment horizontal="center" vertical="center"/>
    </xf>
    <xf numFmtId="44" fontId="21" fillId="3" borderId="6" xfId="6" applyFont="1" applyFill="1" applyBorder="1" applyAlignment="1">
      <alignment vertical="center"/>
    </xf>
    <xf numFmtId="44" fontId="21" fillId="3" borderId="11" xfId="6" applyFont="1" applyFill="1" applyBorder="1" applyAlignment="1">
      <alignment vertical="center"/>
    </xf>
    <xf numFmtId="0" fontId="15" fillId="0" borderId="0" xfId="21" applyFont="1" applyBorder="1" applyAlignment="1">
      <alignment horizontal="center"/>
    </xf>
    <xf numFmtId="44" fontId="16" fillId="4" borderId="5" xfId="6" applyNumberFormat="1" applyFont="1" applyFill="1" applyBorder="1" applyAlignment="1">
      <alignment vertical="center"/>
    </xf>
    <xf numFmtId="0" fontId="17" fillId="0" borderId="36" xfId="0" applyFont="1" applyBorder="1" applyAlignment="1">
      <alignment horizontal="center" vertical="center"/>
    </xf>
    <xf numFmtId="44" fontId="16" fillId="4" borderId="2" xfId="6" applyNumberFormat="1" applyFont="1" applyFill="1" applyBorder="1" applyAlignment="1">
      <alignment vertical="center"/>
    </xf>
    <xf numFmtId="167" fontId="16" fillId="4" borderId="2" xfId="21" applyNumberFormat="1" applyFont="1" applyFill="1" applyBorder="1" applyAlignment="1">
      <alignment horizontal="center" vertical="center" wrapText="1"/>
    </xf>
    <xf numFmtId="0" fontId="29" fillId="4" borderId="2" xfId="21" applyFont="1" applyFill="1" applyBorder="1" applyAlignment="1">
      <alignment horizontal="center" vertical="center" wrapText="1"/>
    </xf>
    <xf numFmtId="44" fontId="15" fillId="0" borderId="2" xfId="21" applyNumberFormat="1" applyFont="1" applyFill="1" applyBorder="1" applyAlignment="1">
      <alignment horizontal="right" vertical="center" wrapText="1"/>
    </xf>
    <xf numFmtId="0" fontId="16" fillId="3" borderId="17" xfId="21" applyFont="1" applyFill="1" applyBorder="1" applyAlignment="1">
      <alignment horizontal="center"/>
    </xf>
    <xf numFmtId="0" fontId="16" fillId="0" borderId="4" xfId="21" applyFont="1" applyFill="1" applyBorder="1" applyAlignment="1">
      <alignment horizontal="center" vertical="center" wrapText="1"/>
    </xf>
    <xf numFmtId="0" fontId="16" fillId="0" borderId="2" xfId="21" applyFont="1" applyFill="1" applyBorder="1" applyAlignment="1">
      <alignment horizontal="center" vertical="center" wrapText="1"/>
    </xf>
    <xf numFmtId="0" fontId="16" fillId="0" borderId="15" xfId="21" applyFont="1" applyFill="1" applyBorder="1" applyAlignment="1">
      <alignment horizontal="center" vertical="center" wrapText="1"/>
    </xf>
    <xf numFmtId="0" fontId="15" fillId="0" borderId="0" xfId="21" applyFont="1" applyBorder="1" applyAlignment="1">
      <alignment horizontal="center"/>
    </xf>
    <xf numFmtId="44" fontId="16" fillId="0" borderId="4" xfId="21" applyNumberFormat="1" applyFont="1" applyFill="1" applyBorder="1" applyAlignment="1">
      <alignment horizontal="center" vertical="center" wrapText="1"/>
    </xf>
    <xf numFmtId="44" fontId="16" fillId="0" borderId="2" xfId="21" applyNumberFormat="1" applyFont="1" applyFill="1" applyBorder="1" applyAlignment="1">
      <alignment horizontal="center" vertical="center" wrapText="1"/>
    </xf>
    <xf numFmtId="44" fontId="28" fillId="3" borderId="37" xfId="0" applyNumberFormat="1" applyFont="1" applyFill="1" applyBorder="1" applyAlignment="1">
      <alignment horizontal="center" vertical="center"/>
    </xf>
    <xf numFmtId="0" fontId="15" fillId="0" borderId="0" xfId="21" applyFont="1" applyFill="1" applyAlignment="1"/>
    <xf numFmtId="44" fontId="16" fillId="0" borderId="2" xfId="6" applyFont="1" applyFill="1" applyBorder="1" applyAlignment="1">
      <alignment vertical="center"/>
    </xf>
    <xf numFmtId="44" fontId="16" fillId="0" borderId="5" xfId="6" applyFont="1" applyFill="1" applyBorder="1" applyAlignment="1">
      <alignment vertical="center"/>
    </xf>
    <xf numFmtId="0" fontId="15" fillId="0" borderId="0" xfId="21" applyFont="1" applyFill="1" applyBorder="1" applyAlignment="1"/>
    <xf numFmtId="44" fontId="17" fillId="0" borderId="10" xfId="6" applyFont="1" applyFill="1" applyBorder="1" applyAlignment="1">
      <alignment horizontal="center" vertical="center"/>
    </xf>
    <xf numFmtId="44" fontId="15" fillId="0" borderId="5" xfId="21" applyNumberFormat="1" applyFont="1" applyFill="1" applyBorder="1" applyAlignment="1"/>
    <xf numFmtId="0" fontId="33" fillId="4" borderId="0" xfId="0" applyFont="1" applyFill="1" applyAlignment="1">
      <alignment horizontal="center"/>
    </xf>
    <xf numFmtId="0" fontId="16" fillId="3" borderId="7" xfId="21" applyFont="1" applyFill="1" applyBorder="1" applyAlignment="1">
      <alignment horizontal="center" vertical="center" wrapText="1"/>
    </xf>
    <xf numFmtId="0" fontId="16" fillId="3" borderId="8" xfId="21" applyFont="1" applyFill="1" applyBorder="1" applyAlignment="1">
      <alignment horizontal="center" vertical="center" wrapText="1"/>
    </xf>
    <xf numFmtId="0" fontId="16" fillId="3" borderId="9" xfId="21" applyFont="1" applyFill="1" applyBorder="1" applyAlignment="1">
      <alignment horizontal="center" vertical="center" wrapText="1"/>
    </xf>
    <xf numFmtId="0" fontId="16" fillId="5" borderId="4" xfId="21" applyFont="1" applyFill="1" applyBorder="1" applyAlignment="1">
      <alignment horizontal="center" vertical="center" wrapText="1"/>
    </xf>
    <xf numFmtId="0" fontId="16" fillId="5" borderId="2" xfId="21" applyFont="1" applyFill="1" applyBorder="1" applyAlignment="1">
      <alignment horizontal="center" vertical="center" wrapText="1"/>
    </xf>
    <xf numFmtId="0" fontId="16" fillId="5" borderId="5" xfId="21" applyFont="1" applyFill="1" applyBorder="1" applyAlignment="1">
      <alignment horizontal="center" vertical="center" wrapText="1"/>
    </xf>
    <xf numFmtId="0" fontId="16" fillId="3" borderId="4" xfId="21" applyFont="1" applyFill="1" applyBorder="1" applyAlignment="1">
      <alignment horizontal="center" vertical="center" wrapText="1"/>
    </xf>
    <xf numFmtId="0" fontId="16" fillId="3" borderId="2" xfId="21" applyFont="1" applyFill="1" applyBorder="1" applyAlignment="1">
      <alignment horizontal="center" vertical="center" wrapText="1"/>
    </xf>
    <xf numFmtId="0" fontId="16" fillId="3" borderId="5" xfId="21" applyFont="1" applyFill="1" applyBorder="1" applyAlignment="1">
      <alignment horizontal="center" vertical="center" wrapText="1"/>
    </xf>
    <xf numFmtId="0" fontId="32" fillId="2" borderId="16" xfId="0" applyFont="1" applyFill="1" applyBorder="1" applyAlignment="1">
      <alignment horizontal="center" vertical="center" wrapText="1"/>
    </xf>
    <xf numFmtId="0" fontId="32" fillId="2" borderId="17" xfId="0" applyFont="1" applyFill="1" applyBorder="1" applyAlignment="1">
      <alignment horizontal="center" vertical="center" wrapText="1"/>
    </xf>
    <xf numFmtId="0" fontId="32" fillId="2" borderId="21" xfId="0" applyFont="1" applyFill="1" applyBorder="1" applyAlignment="1">
      <alignment horizontal="center" vertical="center" wrapText="1"/>
    </xf>
    <xf numFmtId="0" fontId="16" fillId="3" borderId="17" xfId="21" applyFont="1" applyFill="1" applyBorder="1" applyAlignment="1">
      <alignment horizontal="center"/>
    </xf>
    <xf numFmtId="0" fontId="16" fillId="3" borderId="21" xfId="21" applyFont="1" applyFill="1" applyBorder="1" applyAlignment="1">
      <alignment horizontal="center"/>
    </xf>
    <xf numFmtId="0" fontId="16" fillId="0" borderId="4" xfId="21" applyFont="1" applyFill="1" applyBorder="1" applyAlignment="1">
      <alignment horizontal="center" vertical="center" wrapText="1"/>
    </xf>
    <xf numFmtId="0" fontId="16" fillId="0" borderId="2" xfId="21" applyFont="1" applyFill="1" applyBorder="1" applyAlignment="1">
      <alignment horizontal="center" vertical="center" wrapText="1"/>
    </xf>
    <xf numFmtId="0" fontId="15" fillId="0" borderId="2" xfId="21" applyFont="1" applyFill="1" applyBorder="1" applyAlignment="1">
      <alignment horizontal="left" vertical="center" wrapText="1"/>
    </xf>
    <xf numFmtId="0" fontId="16" fillId="0" borderId="15" xfId="21" applyFont="1" applyFill="1" applyBorder="1" applyAlignment="1">
      <alignment horizontal="center" vertical="center" wrapText="1"/>
    </xf>
    <xf numFmtId="0" fontId="16" fillId="0" borderId="6" xfId="21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/>
    </xf>
    <xf numFmtId="0" fontId="16" fillId="0" borderId="5" xfId="21" applyFont="1" applyFill="1" applyBorder="1" applyAlignment="1">
      <alignment horizontal="center" vertical="center" wrapText="1"/>
    </xf>
    <xf numFmtId="44" fontId="16" fillId="0" borderId="4" xfId="21" applyNumberFormat="1" applyFont="1" applyFill="1" applyBorder="1" applyAlignment="1">
      <alignment horizontal="center" vertical="center" wrapText="1"/>
    </xf>
    <xf numFmtId="44" fontId="16" fillId="0" borderId="2" xfId="21" applyNumberFormat="1" applyFont="1" applyFill="1" applyBorder="1" applyAlignment="1">
      <alignment horizontal="center" vertical="center" wrapText="1"/>
    </xf>
    <xf numFmtId="44" fontId="16" fillId="0" borderId="5" xfId="21" applyNumberFormat="1" applyFont="1" applyFill="1" applyBorder="1" applyAlignment="1">
      <alignment horizontal="center" vertical="center" wrapText="1"/>
    </xf>
    <xf numFmtId="0" fontId="15" fillId="0" borderId="4" xfId="21" applyFont="1" applyFill="1" applyBorder="1" applyAlignment="1">
      <alignment horizontal="center" vertical="center" wrapText="1"/>
    </xf>
    <xf numFmtId="0" fontId="15" fillId="0" borderId="2" xfId="21" applyFont="1" applyFill="1" applyBorder="1" applyAlignment="1">
      <alignment horizontal="center" vertical="center" wrapText="1"/>
    </xf>
    <xf numFmtId="0" fontId="15" fillId="0" borderId="5" xfId="21" applyFont="1" applyFill="1" applyBorder="1" applyAlignment="1">
      <alignment horizontal="center" vertical="center" wrapText="1"/>
    </xf>
    <xf numFmtId="0" fontId="16" fillId="0" borderId="20" xfId="21" applyFont="1" applyFill="1" applyBorder="1" applyAlignment="1">
      <alignment horizontal="center" vertical="center" wrapText="1"/>
    </xf>
    <xf numFmtId="44" fontId="15" fillId="0" borderId="2" xfId="21" applyNumberFormat="1" applyFont="1" applyFill="1" applyBorder="1" applyAlignment="1">
      <alignment horizontal="left" vertical="center" wrapText="1"/>
    </xf>
    <xf numFmtId="0" fontId="15" fillId="0" borderId="20" xfId="21" applyFont="1" applyFill="1" applyBorder="1" applyAlignment="1">
      <alignment horizontal="center"/>
    </xf>
    <xf numFmtId="0" fontId="16" fillId="3" borderId="16" xfId="21" applyFont="1" applyFill="1" applyBorder="1" applyAlignment="1">
      <alignment horizontal="left"/>
    </xf>
    <xf numFmtId="0" fontId="16" fillId="3" borderId="17" xfId="21" applyFont="1" applyFill="1" applyBorder="1" applyAlignment="1">
      <alignment horizontal="left"/>
    </xf>
    <xf numFmtId="0" fontId="15" fillId="0" borderId="8" xfId="21" applyFont="1" applyFill="1" applyBorder="1" applyAlignment="1">
      <alignment horizontal="left" vertical="center" wrapText="1"/>
    </xf>
    <xf numFmtId="0" fontId="15" fillId="0" borderId="0" xfId="21" applyFont="1" applyBorder="1" applyAlignment="1">
      <alignment horizontal="center"/>
    </xf>
    <xf numFmtId="0" fontId="16" fillId="3" borderId="17" xfId="21" applyFont="1" applyFill="1" applyBorder="1" applyAlignment="1">
      <alignment horizontal="right"/>
    </xf>
    <xf numFmtId="0" fontId="15" fillId="4" borderId="2" xfId="21" applyFont="1" applyFill="1" applyBorder="1" applyAlignment="1">
      <alignment horizontal="left" vertical="center" wrapText="1"/>
    </xf>
    <xf numFmtId="1" fontId="16" fillId="0" borderId="4" xfId="21" applyNumberFormat="1" applyFont="1" applyFill="1" applyBorder="1" applyAlignment="1">
      <alignment horizontal="center" vertical="center" wrapText="1"/>
    </xf>
    <xf numFmtId="1" fontId="16" fillId="0" borderId="2" xfId="21" applyNumberFormat="1" applyFont="1" applyFill="1" applyBorder="1" applyAlignment="1">
      <alignment horizontal="center" vertical="center" wrapText="1"/>
    </xf>
    <xf numFmtId="0" fontId="15" fillId="0" borderId="19" xfId="21" applyFont="1" applyFill="1" applyBorder="1" applyAlignment="1">
      <alignment horizontal="center" vertical="center" wrapText="1"/>
    </xf>
    <xf numFmtId="0" fontId="15" fillId="0" borderId="6" xfId="21" applyFont="1" applyFill="1" applyBorder="1" applyAlignment="1">
      <alignment horizontal="left" vertical="center" wrapText="1"/>
    </xf>
    <xf numFmtId="0" fontId="16" fillId="0" borderId="4" xfId="13" applyFont="1" applyFill="1" applyBorder="1" applyAlignment="1">
      <alignment horizontal="center" vertical="center" wrapText="1"/>
    </xf>
    <xf numFmtId="0" fontId="16" fillId="0" borderId="2" xfId="13" applyFont="1" applyFill="1" applyBorder="1" applyAlignment="1">
      <alignment horizontal="center" vertical="center" wrapText="1"/>
    </xf>
    <xf numFmtId="0" fontId="15" fillId="0" borderId="2" xfId="13" applyFont="1" applyFill="1" applyBorder="1" applyAlignment="1">
      <alignment horizontal="left" vertical="center" wrapText="1"/>
    </xf>
    <xf numFmtId="0" fontId="28" fillId="3" borderId="22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/>
    </xf>
    <xf numFmtId="0" fontId="28" fillId="3" borderId="24" xfId="0" applyFont="1" applyFill="1" applyBorder="1" applyAlignment="1">
      <alignment horizontal="center" vertical="center"/>
    </xf>
    <xf numFmtId="0" fontId="26" fillId="4" borderId="30" xfId="0" applyFont="1" applyFill="1" applyBorder="1" applyAlignment="1">
      <alignment horizontal="left" vertical="center" wrapText="1"/>
    </xf>
    <xf numFmtId="0" fontId="26" fillId="4" borderId="26" xfId="0" applyFont="1" applyFill="1" applyBorder="1" applyAlignment="1">
      <alignment horizontal="left" vertical="center" wrapText="1"/>
    </xf>
    <xf numFmtId="0" fontId="26" fillId="4" borderId="31" xfId="0" applyFont="1" applyFill="1" applyBorder="1" applyAlignment="1">
      <alignment horizontal="left" vertical="center" wrapText="1"/>
    </xf>
    <xf numFmtId="0" fontId="26" fillId="4" borderId="30" xfId="0" applyFont="1" applyFill="1" applyBorder="1" applyAlignment="1">
      <alignment horizontal="left" vertical="center"/>
    </xf>
    <xf numFmtId="0" fontId="26" fillId="4" borderId="26" xfId="0" applyFont="1" applyFill="1" applyBorder="1" applyAlignment="1">
      <alignment horizontal="left" vertical="center"/>
    </xf>
    <xf numFmtId="0" fontId="26" fillId="4" borderId="31" xfId="0" applyFont="1" applyFill="1" applyBorder="1" applyAlignment="1">
      <alignment horizontal="left" vertical="center"/>
    </xf>
    <xf numFmtId="0" fontId="28" fillId="3" borderId="25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/>
    </xf>
    <xf numFmtId="0" fontId="28" fillId="3" borderId="31" xfId="0" applyFont="1" applyFill="1" applyBorder="1" applyAlignment="1">
      <alignment horizontal="center" vertical="center"/>
    </xf>
    <xf numFmtId="0" fontId="32" fillId="2" borderId="28" xfId="0" applyFont="1" applyFill="1" applyBorder="1" applyAlignment="1">
      <alignment horizontal="center" vertical="center"/>
    </xf>
    <xf numFmtId="0" fontId="32" fillId="2" borderId="29" xfId="0" applyFont="1" applyFill="1" applyBorder="1" applyAlignment="1">
      <alignment horizontal="center" vertical="center"/>
    </xf>
    <xf numFmtId="0" fontId="32" fillId="2" borderId="32" xfId="0" applyFont="1" applyFill="1" applyBorder="1" applyAlignment="1">
      <alignment horizontal="center" vertical="center"/>
    </xf>
    <xf numFmtId="0" fontId="28" fillId="3" borderId="30" xfId="0" applyFont="1" applyFill="1" applyBorder="1" applyAlignment="1">
      <alignment horizontal="center" vertical="center"/>
    </xf>
    <xf numFmtId="0" fontId="28" fillId="3" borderId="2" xfId="0" applyFont="1" applyFill="1" applyBorder="1" applyAlignment="1">
      <alignment horizontal="center" vertical="center"/>
    </xf>
    <xf numFmtId="0" fontId="28" fillId="3" borderId="15" xfId="0" applyFont="1" applyFill="1" applyBorder="1" applyAlignment="1">
      <alignment horizontal="center" vertical="center"/>
    </xf>
    <xf numFmtId="0" fontId="28" fillId="3" borderId="6" xfId="0" applyFont="1" applyFill="1" applyBorder="1" applyAlignment="1">
      <alignment horizontal="center" vertical="center"/>
    </xf>
    <xf numFmtId="0" fontId="30" fillId="3" borderId="15" xfId="0" applyFont="1" applyFill="1" applyBorder="1" applyAlignment="1">
      <alignment horizontal="center"/>
    </xf>
    <xf numFmtId="0" fontId="30" fillId="3" borderId="6" xfId="0" applyFont="1" applyFill="1" applyBorder="1" applyAlignment="1">
      <alignment horizontal="center"/>
    </xf>
    <xf numFmtId="0" fontId="24" fillId="3" borderId="33" xfId="0" applyFont="1" applyFill="1" applyBorder="1" applyAlignment="1">
      <alignment horizontal="center"/>
    </xf>
    <xf numFmtId="0" fontId="24" fillId="3" borderId="34" xfId="0" applyFont="1" applyFill="1" applyBorder="1" applyAlignment="1">
      <alignment horizontal="center"/>
    </xf>
    <xf numFmtId="0" fontId="24" fillId="3" borderId="35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/>
    </xf>
    <xf numFmtId="0" fontId="24" fillId="3" borderId="5" xfId="0" applyFont="1" applyFill="1" applyBorder="1" applyAlignment="1">
      <alignment horizontal="center"/>
    </xf>
    <xf numFmtId="0" fontId="30" fillId="3" borderId="4" xfId="0" applyFont="1" applyFill="1" applyBorder="1" applyAlignment="1">
      <alignment horizontal="center"/>
    </xf>
    <xf numFmtId="0" fontId="30" fillId="3" borderId="2" xfId="0" applyFont="1" applyFill="1" applyBorder="1" applyAlignment="1">
      <alignment horizontal="center"/>
    </xf>
    <xf numFmtId="0" fontId="14" fillId="0" borderId="4" xfId="0" applyFont="1" applyFill="1" applyBorder="1" applyAlignment="1">
      <alignment horizontal="center" vertical="center" wrapText="1"/>
    </xf>
    <xf numFmtId="0" fontId="24" fillId="3" borderId="4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/>
    </xf>
    <xf numFmtId="0" fontId="30" fillId="3" borderId="2" xfId="0" applyFont="1" applyFill="1" applyBorder="1" applyAlignment="1">
      <alignment horizontal="center" vertical="center"/>
    </xf>
    <xf numFmtId="0" fontId="30" fillId="3" borderId="15" xfId="0" applyFont="1" applyFill="1" applyBorder="1" applyAlignment="1">
      <alignment horizontal="center" vertical="center"/>
    </xf>
    <xf numFmtId="0" fontId="30" fillId="3" borderId="6" xfId="0" applyFont="1" applyFill="1" applyBorder="1" applyAlignment="1">
      <alignment horizontal="center" vertical="center"/>
    </xf>
    <xf numFmtId="0" fontId="24" fillId="3" borderId="12" xfId="0" applyFont="1" applyFill="1" applyBorder="1" applyAlignment="1">
      <alignment horizontal="center" vertical="center"/>
    </xf>
    <xf numFmtId="0" fontId="24" fillId="3" borderId="13" xfId="0" applyFont="1" applyFill="1" applyBorder="1" applyAlignment="1">
      <alignment horizontal="center" vertical="center"/>
    </xf>
    <xf numFmtId="0" fontId="24" fillId="3" borderId="14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horizontal="center" vertical="center"/>
    </xf>
    <xf numFmtId="0" fontId="24" fillId="3" borderId="5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24" fillId="3" borderId="25" xfId="0" applyFont="1" applyFill="1" applyBorder="1" applyAlignment="1">
      <alignment horizontal="center" wrapText="1"/>
    </xf>
    <xf numFmtId="0" fontId="24" fillId="3" borderId="26" xfId="0" applyFont="1" applyFill="1" applyBorder="1" applyAlignment="1">
      <alignment horizontal="center" wrapText="1"/>
    </xf>
    <xf numFmtId="0" fontId="24" fillId="3" borderId="27" xfId="0" applyFont="1" applyFill="1" applyBorder="1" applyAlignment="1">
      <alignment horizontal="center" wrapText="1"/>
    </xf>
    <xf numFmtId="0" fontId="21" fillId="3" borderId="22" xfId="0" applyFont="1" applyFill="1" applyBorder="1" applyAlignment="1">
      <alignment horizontal="center" vertical="center"/>
    </xf>
    <xf numFmtId="0" fontId="21" fillId="3" borderId="23" xfId="0" applyFont="1" applyFill="1" applyBorder="1" applyAlignment="1">
      <alignment horizontal="center" vertical="center"/>
    </xf>
    <xf numFmtId="0" fontId="21" fillId="3" borderId="24" xfId="0" applyFont="1" applyFill="1" applyBorder="1" applyAlignment="1">
      <alignment horizontal="center" vertical="center"/>
    </xf>
  </cellXfs>
  <cellStyles count="32">
    <cellStyle name="Excel Built-in Normal" xfId="1" xr:uid="{00000000-0005-0000-0000-000002000000}"/>
    <cellStyle name="Excel_BuiltIn_Currency 1" xfId="2" xr:uid="{00000000-0005-0000-0000-000003000000}"/>
    <cellStyle name="Excel_BuiltIn_Percent 1" xfId="3" xr:uid="{00000000-0005-0000-0000-000004000000}"/>
    <cellStyle name="Heading" xfId="4" xr:uid="{00000000-0005-0000-0000-000005000000}"/>
    <cellStyle name="Heading1" xfId="5" xr:uid="{00000000-0005-0000-0000-000006000000}"/>
    <cellStyle name="Moeda" xfId="6" builtinId="4"/>
    <cellStyle name="Moeda 2" xfId="7" xr:uid="{00000000-0005-0000-0000-000007000000}"/>
    <cellStyle name="Moeda 3" xfId="8" xr:uid="{00000000-0005-0000-0000-000008000000}"/>
    <cellStyle name="Moeda 4" xfId="9" xr:uid="{00000000-0005-0000-0000-000009000000}"/>
    <cellStyle name="Moeda 5" xfId="10" xr:uid="{00000000-0005-0000-0000-00000A000000}"/>
    <cellStyle name="Moeda 6" xfId="11" xr:uid="{00000000-0005-0000-0000-00000B000000}"/>
    <cellStyle name="Moeda 7" xfId="12" xr:uid="{00000000-0005-0000-0000-00000C000000}"/>
    <cellStyle name="Normal" xfId="0" builtinId="0"/>
    <cellStyle name="Normal 2" xfId="13" xr:uid="{00000000-0005-0000-0000-00000E000000}"/>
    <cellStyle name="Normal 2 2" xfId="14" xr:uid="{00000000-0005-0000-0000-00000F000000}"/>
    <cellStyle name="Normal 2 3" xfId="15" xr:uid="{00000000-0005-0000-0000-000010000000}"/>
    <cellStyle name="Normal 3" xfId="16" xr:uid="{00000000-0005-0000-0000-000011000000}"/>
    <cellStyle name="Normal 4" xfId="17" xr:uid="{00000000-0005-0000-0000-000012000000}"/>
    <cellStyle name="Normal 5" xfId="18" xr:uid="{00000000-0005-0000-0000-000013000000}"/>
    <cellStyle name="Normal 6" xfId="19" xr:uid="{00000000-0005-0000-0000-000014000000}"/>
    <cellStyle name="Normal 7" xfId="20" xr:uid="{00000000-0005-0000-0000-000015000000}"/>
    <cellStyle name="Normal 8" xfId="21" xr:uid="{00000000-0005-0000-0000-000016000000}"/>
    <cellStyle name="Porcentagem 2" xfId="22" xr:uid="{00000000-0005-0000-0000-000017000000}"/>
    <cellStyle name="Porcentagem 7" xfId="23" xr:uid="{00000000-0005-0000-0000-000018000000}"/>
    <cellStyle name="Result" xfId="24" xr:uid="{00000000-0005-0000-0000-000019000000}"/>
    <cellStyle name="Result2" xfId="25" xr:uid="{00000000-0005-0000-0000-00001A000000}"/>
    <cellStyle name="Separador de milhares 2" xfId="26" xr:uid="{00000000-0005-0000-0000-00001B000000}"/>
    <cellStyle name="Separador de milhares 3" xfId="27" xr:uid="{00000000-0005-0000-0000-00001C000000}"/>
    <cellStyle name="Separador de milhares 4" xfId="28" xr:uid="{00000000-0005-0000-0000-00001D000000}"/>
    <cellStyle name="Separador de milhares 5" xfId="29" xr:uid="{00000000-0005-0000-0000-00001E000000}"/>
    <cellStyle name="Título 1 1" xfId="30" xr:uid="{00000000-0005-0000-0000-00001F000000}"/>
    <cellStyle name="Vírgula" xfId="3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1356378</xdr:colOff>
      <xdr:row>1</xdr:row>
      <xdr:rowOff>161018</xdr:rowOff>
    </xdr:from>
    <xdr:to>
      <xdr:col>18</xdr:col>
      <xdr:colOff>1113519</xdr:colOff>
      <xdr:row>4</xdr:row>
      <xdr:rowOff>24243</xdr:rowOff>
    </xdr:to>
    <xdr:pic>
      <xdr:nvPicPr>
        <xdr:cNvPr id="6" name="Imagem 1" descr="Logo HUUFMA">
          <a:extLst>
            <a:ext uri="{FF2B5EF4-FFF2-40B4-BE49-F238E27FC236}">
              <a16:creationId xmlns:a16="http://schemas.microsoft.com/office/drawing/2014/main" id="{CD416F15-894A-4EF4-8E2C-1D65BEAA97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33342" y="161018"/>
          <a:ext cx="3158926" cy="81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1791668</xdr:colOff>
      <xdr:row>2</xdr:row>
      <xdr:rowOff>143527</xdr:rowOff>
    </xdr:from>
    <xdr:to>
      <xdr:col>7</xdr:col>
      <xdr:colOff>599282</xdr:colOff>
      <xdr:row>6</xdr:row>
      <xdr:rowOff>169623</xdr:rowOff>
    </xdr:to>
    <xdr:pic>
      <xdr:nvPicPr>
        <xdr:cNvPr id="3" name="Imagem 2" descr="Logo HUUFMA">
          <a:extLst>
            <a:ext uri="{FF2B5EF4-FFF2-40B4-BE49-F238E27FC236}">
              <a16:creationId xmlns:a16="http://schemas.microsoft.com/office/drawing/2014/main" id="{89CC2F1E-8B2C-411C-B046-9AB1A56B7C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18489" y="143527"/>
          <a:ext cx="3107472" cy="78809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1646463</xdr:colOff>
      <xdr:row>2</xdr:row>
      <xdr:rowOff>68038</xdr:rowOff>
    </xdr:from>
    <xdr:to>
      <xdr:col>5</xdr:col>
      <xdr:colOff>924899</xdr:colOff>
      <xdr:row>3</xdr:row>
      <xdr:rowOff>27216</xdr:rowOff>
    </xdr:to>
    <xdr:pic>
      <xdr:nvPicPr>
        <xdr:cNvPr id="2" name="Imagem 1" descr="Logo HUUFMA">
          <a:extLst>
            <a:ext uri="{FF2B5EF4-FFF2-40B4-BE49-F238E27FC236}">
              <a16:creationId xmlns:a16="http://schemas.microsoft.com/office/drawing/2014/main" id="{3047230C-8FC6-450F-B4E3-24EA4875C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22320" y="68038"/>
          <a:ext cx="2993186" cy="78921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450088</xdr:colOff>
      <xdr:row>2</xdr:row>
      <xdr:rowOff>146277</xdr:rowOff>
    </xdr:from>
    <xdr:to>
      <xdr:col>10</xdr:col>
      <xdr:colOff>395628</xdr:colOff>
      <xdr:row>2</xdr:row>
      <xdr:rowOff>926987</xdr:rowOff>
    </xdr:to>
    <xdr:pic>
      <xdr:nvPicPr>
        <xdr:cNvPr id="2" name="Imagem 1" descr="Logo HUUFMA">
          <a:extLst>
            <a:ext uri="{FF2B5EF4-FFF2-40B4-BE49-F238E27FC236}">
              <a16:creationId xmlns:a16="http://schemas.microsoft.com/office/drawing/2014/main" id="{0482D141-B146-4FC7-8DC2-6F8832D273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7807" y="146277"/>
          <a:ext cx="3053072" cy="7807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ao Mendonca Furtado Neto" id="{EDED703C-9B03-429A-A030-FA2D2ED36F2A}" userId="S::joao.furtado@ebserh.gov.br::e0b2aa99-0833-479c-93ae-630f433ef1c1" providerId="AD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V17" dT="2021-07-06T19:43:47.10" personId="{EDED703C-9B03-429A-A030-FA2D2ED36F2A}" id="{C0689D33-8B09-4D1E-AC7A-E9C657CEA95D}">
    <text>Média salarial dissídio/glassdoor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AG134"/>
  <sheetViews>
    <sheetView showGridLines="0" tabSelected="1" view="pageBreakPreview" topLeftCell="Q1" zoomScale="70" zoomScaleNormal="70" zoomScaleSheetLayoutView="70" workbookViewId="0">
      <pane ySplit="19" topLeftCell="A20" activePane="bottomLeft" state="frozen"/>
      <selection pane="bottomLeft" activeCell="AE15" sqref="AE15"/>
    </sheetView>
  </sheetViews>
  <sheetFormatPr defaultColWidth="12" defaultRowHeight="15"/>
  <cols>
    <col min="1" max="1" width="12" style="5"/>
    <col min="2" max="2" width="5.42578125" style="5" customWidth="1"/>
    <col min="3" max="3" width="6.28515625" style="5" customWidth="1"/>
    <col min="4" max="4" width="19.5703125" style="5" customWidth="1"/>
    <col min="5" max="5" width="13.5703125" style="5" customWidth="1"/>
    <col min="6" max="6" width="5.7109375" style="5" customWidth="1"/>
    <col min="7" max="7" width="10" style="5" customWidth="1"/>
    <col min="8" max="8" width="13.7109375" style="5" customWidth="1"/>
    <col min="9" max="9" width="19" style="5" customWidth="1"/>
    <col min="10" max="10" width="11.5703125" style="5" bestFit="1" customWidth="1"/>
    <col min="11" max="11" width="23.42578125" style="5" bestFit="1" customWidth="1"/>
    <col min="12" max="13" width="25.5703125" style="5" customWidth="1"/>
    <col min="14" max="21" width="25.5703125" style="5" bestFit="1" customWidth="1"/>
    <col min="22" max="22" width="25.5703125" style="5" customWidth="1"/>
    <col min="23" max="29" width="25.5703125" style="5" bestFit="1" customWidth="1"/>
    <col min="30" max="30" width="5.7109375" style="5" customWidth="1"/>
    <col min="31" max="16384" width="12" style="5"/>
  </cols>
  <sheetData>
    <row r="4" spans="2:29" ht="45" customHeight="1"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</row>
    <row r="5" spans="2:29" ht="21">
      <c r="C5" s="168" t="s">
        <v>152</v>
      </c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</row>
    <row r="6" spans="2:29" ht="21">
      <c r="C6" s="168" t="s">
        <v>153</v>
      </c>
      <c r="D6" s="168"/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168"/>
      <c r="Y6" s="168"/>
      <c r="Z6" s="168"/>
      <c r="AA6" s="168"/>
      <c r="AB6" s="168"/>
      <c r="AC6" s="168"/>
    </row>
    <row r="7" spans="2:29" ht="21">
      <c r="C7" s="168" t="s">
        <v>154</v>
      </c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168"/>
      <c r="Y7" s="168"/>
      <c r="Z7" s="168"/>
      <c r="AA7" s="168"/>
      <c r="AB7" s="168"/>
      <c r="AC7" s="168"/>
    </row>
    <row r="8" spans="2:29" ht="21">
      <c r="C8" s="168" t="s">
        <v>155</v>
      </c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</row>
    <row r="9" spans="2:29" ht="21">
      <c r="C9" s="168" t="s">
        <v>156</v>
      </c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168"/>
      <c r="Y9" s="168"/>
      <c r="Z9" s="168"/>
      <c r="AA9" s="168"/>
      <c r="AB9" s="168"/>
      <c r="AC9" s="168"/>
    </row>
    <row r="10" spans="2:29" ht="19.5" thickBot="1"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</row>
    <row r="11" spans="2:29" ht="31.5" customHeight="1" thickTop="1" thickBot="1">
      <c r="C11" s="178" t="s">
        <v>0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80"/>
    </row>
    <row r="12" spans="2:29" ht="18.75" customHeight="1" thickTop="1" thickBot="1"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62"/>
      <c r="T12" s="62"/>
      <c r="U12" s="62"/>
      <c r="V12" s="62"/>
      <c r="W12" s="62"/>
      <c r="X12" s="62"/>
      <c r="Y12" s="62"/>
      <c r="Z12" s="105"/>
      <c r="AA12" s="147"/>
      <c r="AB12" s="147"/>
      <c r="AC12" s="158"/>
    </row>
    <row r="13" spans="2:29" ht="16.5" thickTop="1" thickBot="1">
      <c r="C13" s="199" t="s">
        <v>1</v>
      </c>
      <c r="D13" s="200"/>
      <c r="E13" s="181"/>
      <c r="F13" s="181"/>
      <c r="G13" s="181"/>
      <c r="H13" s="203" t="s">
        <v>2</v>
      </c>
      <c r="I13" s="203"/>
      <c r="J13" s="181" t="s">
        <v>3</v>
      </c>
      <c r="K13" s="181"/>
      <c r="L13" s="154"/>
      <c r="M13" s="154"/>
      <c r="N13" s="181"/>
      <c r="O13" s="181"/>
      <c r="P13" s="181"/>
      <c r="Q13" s="181"/>
      <c r="R13" s="181"/>
      <c r="S13" s="181"/>
      <c r="T13" s="181"/>
      <c r="U13" s="181"/>
      <c r="V13" s="181"/>
      <c r="W13" s="181"/>
      <c r="X13" s="181"/>
      <c r="Y13" s="181"/>
      <c r="Z13" s="181"/>
      <c r="AA13" s="181"/>
      <c r="AB13" s="181"/>
      <c r="AC13" s="182"/>
    </row>
    <row r="14" spans="2:29" ht="16.5" thickTop="1" thickBot="1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</row>
    <row r="15" spans="2:29" ht="33" customHeight="1" thickTop="1">
      <c r="B15" s="15"/>
      <c r="C15" s="37">
        <v>1</v>
      </c>
      <c r="D15" s="201" t="s">
        <v>4</v>
      </c>
      <c r="E15" s="201"/>
      <c r="F15" s="201"/>
      <c r="G15" s="201"/>
      <c r="H15" s="201"/>
      <c r="I15" s="201"/>
      <c r="J15" s="201"/>
      <c r="K15" s="64" t="s">
        <v>5</v>
      </c>
      <c r="L15" s="64" t="s">
        <v>5</v>
      </c>
      <c r="M15" s="64" t="s">
        <v>5</v>
      </c>
      <c r="N15" s="64" t="s">
        <v>5</v>
      </c>
      <c r="O15" s="64" t="s">
        <v>5</v>
      </c>
      <c r="P15" s="38" t="s">
        <v>5</v>
      </c>
      <c r="Q15" s="38" t="s">
        <v>5</v>
      </c>
      <c r="R15" s="38" t="s">
        <v>5</v>
      </c>
      <c r="S15" s="38" t="s">
        <v>5</v>
      </c>
      <c r="T15" s="64" t="s">
        <v>5</v>
      </c>
      <c r="U15" s="64" t="s">
        <v>5</v>
      </c>
      <c r="V15" s="64" t="s">
        <v>5</v>
      </c>
      <c r="W15" s="64" t="s">
        <v>5</v>
      </c>
      <c r="X15" s="38" t="s">
        <v>5</v>
      </c>
      <c r="Y15" s="38" t="s">
        <v>5</v>
      </c>
      <c r="Z15" s="38" t="s">
        <v>5</v>
      </c>
      <c r="AA15" s="38" t="s">
        <v>5</v>
      </c>
      <c r="AB15" s="38" t="s">
        <v>5</v>
      </c>
      <c r="AC15" s="39" t="s">
        <v>5</v>
      </c>
    </row>
    <row r="16" spans="2:29" ht="32.25" customHeight="1">
      <c r="B16" s="15"/>
      <c r="C16" s="155">
        <v>2</v>
      </c>
      <c r="D16" s="185" t="s">
        <v>6</v>
      </c>
      <c r="E16" s="185"/>
      <c r="F16" s="185"/>
      <c r="G16" s="185"/>
      <c r="H16" s="185"/>
      <c r="I16" s="185"/>
      <c r="J16" s="185"/>
      <c r="K16" s="66" t="s">
        <v>7</v>
      </c>
      <c r="L16" s="66" t="s">
        <v>8</v>
      </c>
      <c r="M16" s="66" t="s">
        <v>7</v>
      </c>
      <c r="N16" s="66" t="s">
        <v>8</v>
      </c>
      <c r="O16" s="66" t="s">
        <v>9</v>
      </c>
      <c r="P16" s="66" t="s">
        <v>7</v>
      </c>
      <c r="Q16" s="66" t="s">
        <v>8</v>
      </c>
      <c r="R16" s="66" t="s">
        <v>9</v>
      </c>
      <c r="S16" s="66" t="s">
        <v>148</v>
      </c>
      <c r="T16" s="151" t="s">
        <v>194</v>
      </c>
      <c r="U16" s="151" t="s">
        <v>195</v>
      </c>
      <c r="V16" s="66" t="s">
        <v>8</v>
      </c>
      <c r="W16" s="66" t="s">
        <v>9</v>
      </c>
      <c r="X16" s="66" t="s">
        <v>7</v>
      </c>
      <c r="Y16" s="66" t="s">
        <v>7</v>
      </c>
      <c r="Z16" s="66" t="s">
        <v>7</v>
      </c>
      <c r="AA16" s="66" t="s">
        <v>8</v>
      </c>
      <c r="AB16" s="66" t="s">
        <v>9</v>
      </c>
      <c r="AC16" s="67" t="s">
        <v>7</v>
      </c>
    </row>
    <row r="17" spans="2:29">
      <c r="B17" s="15"/>
      <c r="C17" s="155">
        <v>3</v>
      </c>
      <c r="D17" s="185" t="s">
        <v>10</v>
      </c>
      <c r="E17" s="185"/>
      <c r="F17" s="185"/>
      <c r="G17" s="185"/>
      <c r="H17" s="185"/>
      <c r="I17" s="185"/>
      <c r="J17" s="185"/>
      <c r="K17" s="55">
        <v>1212.02</v>
      </c>
      <c r="L17" s="55">
        <v>1212.02</v>
      </c>
      <c r="M17" s="55">
        <v>1111.77</v>
      </c>
      <c r="N17" s="55">
        <v>1329.22</v>
      </c>
      <c r="O17" s="55">
        <v>1329.22</v>
      </c>
      <c r="P17" s="55">
        <v>1329.22</v>
      </c>
      <c r="Q17" s="55">
        <v>1329.22</v>
      </c>
      <c r="R17" s="55">
        <v>1329.22</v>
      </c>
      <c r="S17" s="55">
        <v>1186.55</v>
      </c>
      <c r="T17" s="55">
        <v>1186.55</v>
      </c>
      <c r="U17" s="55">
        <v>1186.55</v>
      </c>
      <c r="V17" s="55">
        <v>2188</v>
      </c>
      <c r="W17" s="55">
        <v>2188</v>
      </c>
      <c r="X17" s="55">
        <v>1111.77</v>
      </c>
      <c r="Y17" s="55">
        <v>1111.77</v>
      </c>
      <c r="Z17" s="55">
        <v>1111.77</v>
      </c>
      <c r="AA17" s="150">
        <v>1150.1400000000001</v>
      </c>
      <c r="AB17" s="150">
        <v>1150.1400000000001</v>
      </c>
      <c r="AC17" s="148">
        <v>1150.1400000000001</v>
      </c>
    </row>
    <row r="18" spans="2:29" ht="49.5" customHeight="1">
      <c r="B18" s="15"/>
      <c r="C18" s="155">
        <v>4</v>
      </c>
      <c r="D18" s="185" t="s">
        <v>11</v>
      </c>
      <c r="E18" s="185"/>
      <c r="F18" s="185"/>
      <c r="G18" s="185"/>
      <c r="H18" s="185"/>
      <c r="I18" s="185"/>
      <c r="J18" s="185"/>
      <c r="K18" s="100" t="s">
        <v>191</v>
      </c>
      <c r="L18" s="100" t="s">
        <v>191</v>
      </c>
      <c r="M18" s="100" t="s">
        <v>191</v>
      </c>
      <c r="N18" s="100" t="s">
        <v>191</v>
      </c>
      <c r="O18" s="100" t="s">
        <v>191</v>
      </c>
      <c r="P18" s="100" t="s">
        <v>191</v>
      </c>
      <c r="Q18" s="100" t="s">
        <v>191</v>
      </c>
      <c r="R18" s="100" t="s">
        <v>191</v>
      </c>
      <c r="S18" s="100" t="s">
        <v>191</v>
      </c>
      <c r="T18" s="152" t="s">
        <v>191</v>
      </c>
      <c r="U18" s="152" t="s">
        <v>191</v>
      </c>
      <c r="V18" s="152" t="s">
        <v>261</v>
      </c>
      <c r="W18" s="152" t="s">
        <v>261</v>
      </c>
      <c r="X18" s="100" t="s">
        <v>191</v>
      </c>
      <c r="Y18" s="100" t="s">
        <v>191</v>
      </c>
      <c r="Z18" s="100" t="s">
        <v>191</v>
      </c>
      <c r="AA18" s="100" t="s">
        <v>263</v>
      </c>
      <c r="AB18" s="100" t="s">
        <v>263</v>
      </c>
      <c r="AC18" s="100" t="s">
        <v>263</v>
      </c>
    </row>
    <row r="19" spans="2:29" ht="30.75" customHeight="1">
      <c r="B19" s="15"/>
      <c r="C19" s="155">
        <v>5</v>
      </c>
      <c r="D19" s="185" t="s">
        <v>12</v>
      </c>
      <c r="E19" s="185"/>
      <c r="F19" s="185"/>
      <c r="G19" s="185"/>
      <c r="H19" s="185"/>
      <c r="I19" s="185"/>
      <c r="J19" s="185"/>
      <c r="K19" s="112" t="s">
        <v>13</v>
      </c>
      <c r="L19" s="112" t="s">
        <v>13</v>
      </c>
      <c r="M19" s="112" t="s">
        <v>189</v>
      </c>
      <c r="N19" s="112" t="s">
        <v>196</v>
      </c>
      <c r="O19" s="112" t="s">
        <v>196</v>
      </c>
      <c r="P19" s="112" t="s">
        <v>147</v>
      </c>
      <c r="Q19" s="116" t="s">
        <v>14</v>
      </c>
      <c r="R19" s="116" t="s">
        <v>14</v>
      </c>
      <c r="S19" s="116" t="s">
        <v>15</v>
      </c>
      <c r="T19" s="116" t="s">
        <v>15</v>
      </c>
      <c r="U19" s="116" t="s">
        <v>15</v>
      </c>
      <c r="V19" s="116" t="s">
        <v>192</v>
      </c>
      <c r="W19" s="116" t="s">
        <v>192</v>
      </c>
      <c r="X19" s="116" t="s">
        <v>197</v>
      </c>
      <c r="Y19" s="116" t="s">
        <v>193</v>
      </c>
      <c r="Z19" s="116" t="s">
        <v>164</v>
      </c>
      <c r="AA19" s="116" t="s">
        <v>262</v>
      </c>
      <c r="AB19" s="116" t="s">
        <v>262</v>
      </c>
      <c r="AC19" s="117" t="s">
        <v>262</v>
      </c>
    </row>
    <row r="20" spans="2:29" ht="15.75" thickBot="1">
      <c r="B20" s="15"/>
      <c r="C20" s="157">
        <v>6</v>
      </c>
      <c r="D20" s="208" t="s">
        <v>16</v>
      </c>
      <c r="E20" s="208"/>
      <c r="F20" s="208"/>
      <c r="G20" s="208"/>
      <c r="H20" s="208"/>
      <c r="I20" s="208"/>
      <c r="J20" s="208"/>
      <c r="K20" s="109" t="s">
        <v>157</v>
      </c>
      <c r="L20" s="109" t="s">
        <v>157</v>
      </c>
      <c r="M20" s="109" t="s">
        <v>157</v>
      </c>
      <c r="N20" s="109" t="s">
        <v>157</v>
      </c>
      <c r="O20" s="109" t="s">
        <v>157</v>
      </c>
      <c r="P20" s="109" t="s">
        <v>157</v>
      </c>
      <c r="Q20" s="109" t="s">
        <v>157</v>
      </c>
      <c r="R20" s="109" t="s">
        <v>157</v>
      </c>
      <c r="S20" s="109" t="s">
        <v>157</v>
      </c>
      <c r="T20" s="109" t="s">
        <v>157</v>
      </c>
      <c r="U20" s="110" t="s">
        <v>157</v>
      </c>
      <c r="V20" s="110" t="s">
        <v>260</v>
      </c>
      <c r="W20" s="109" t="s">
        <v>260</v>
      </c>
      <c r="X20" s="109" t="s">
        <v>157</v>
      </c>
      <c r="Y20" s="109" t="s">
        <v>157</v>
      </c>
      <c r="Z20" s="109" t="s">
        <v>157</v>
      </c>
      <c r="AA20" s="109" t="s">
        <v>157</v>
      </c>
      <c r="AB20" s="109" t="s">
        <v>157</v>
      </c>
      <c r="AC20" s="111" t="s">
        <v>157</v>
      </c>
    </row>
    <row r="21" spans="2:29" ht="16.5" customHeight="1" thickTop="1" thickBot="1">
      <c r="B21" s="15"/>
      <c r="C21" s="113"/>
      <c r="D21" s="114"/>
      <c r="E21" s="114"/>
      <c r="F21" s="114"/>
      <c r="G21" s="114"/>
      <c r="H21" s="114"/>
      <c r="I21" s="114"/>
      <c r="J21" s="114"/>
      <c r="K21" s="115"/>
      <c r="L21" s="115"/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</row>
    <row r="22" spans="2:29" ht="39.75" customHeight="1" thickTop="1">
      <c r="B22" s="15"/>
      <c r="C22" s="169" t="s">
        <v>17</v>
      </c>
      <c r="D22" s="170"/>
      <c r="E22" s="170"/>
      <c r="F22" s="170"/>
      <c r="G22" s="170"/>
      <c r="H22" s="170"/>
      <c r="I22" s="170"/>
      <c r="J22" s="170"/>
      <c r="K22" s="170"/>
      <c r="L22" s="170"/>
      <c r="M22" s="170"/>
      <c r="N22" s="170"/>
      <c r="O22" s="170"/>
      <c r="P22" s="170"/>
      <c r="Q22" s="170"/>
      <c r="R22" s="170"/>
      <c r="S22" s="170"/>
      <c r="T22" s="170"/>
      <c r="U22" s="170"/>
      <c r="V22" s="170"/>
      <c r="W22" s="170"/>
      <c r="X22" s="170"/>
      <c r="Y22" s="170"/>
      <c r="Z22" s="170"/>
      <c r="AA22" s="170"/>
      <c r="AB22" s="170"/>
      <c r="AC22" s="171"/>
    </row>
    <row r="23" spans="2:29">
      <c r="B23" s="15"/>
      <c r="C23" s="183" t="s">
        <v>18</v>
      </c>
      <c r="D23" s="184"/>
      <c r="E23" s="184"/>
      <c r="F23" s="184"/>
      <c r="G23" s="184"/>
      <c r="H23" s="184"/>
      <c r="I23" s="184"/>
      <c r="J23" s="156" t="s">
        <v>19</v>
      </c>
      <c r="K23" s="156" t="s">
        <v>20</v>
      </c>
      <c r="L23" s="156"/>
      <c r="M23" s="156"/>
      <c r="N23" s="156" t="s">
        <v>20</v>
      </c>
      <c r="O23" s="156" t="s">
        <v>20</v>
      </c>
      <c r="P23" s="156" t="s">
        <v>20</v>
      </c>
      <c r="Q23" s="156" t="s">
        <v>20</v>
      </c>
      <c r="R23" s="156" t="s">
        <v>20</v>
      </c>
      <c r="S23" s="156" t="s">
        <v>20</v>
      </c>
      <c r="T23" s="156" t="s">
        <v>20</v>
      </c>
      <c r="U23" s="156" t="s">
        <v>20</v>
      </c>
      <c r="V23" s="156" t="s">
        <v>20</v>
      </c>
      <c r="W23" s="156" t="s">
        <v>20</v>
      </c>
      <c r="X23" s="156" t="s">
        <v>20</v>
      </c>
      <c r="Y23" s="156" t="s">
        <v>20</v>
      </c>
      <c r="Z23" s="156" t="s">
        <v>20</v>
      </c>
      <c r="AA23" s="156" t="s">
        <v>20</v>
      </c>
      <c r="AB23" s="156" t="s">
        <v>20</v>
      </c>
      <c r="AC23" s="104" t="s">
        <v>20</v>
      </c>
    </row>
    <row r="24" spans="2:29" ht="15.75" customHeight="1">
      <c r="B24" s="15"/>
      <c r="C24" s="155" t="s">
        <v>21</v>
      </c>
      <c r="D24" s="185" t="s">
        <v>22</v>
      </c>
      <c r="E24" s="185"/>
      <c r="F24" s="185"/>
      <c r="G24" s="185"/>
      <c r="H24" s="185"/>
      <c r="I24" s="185"/>
      <c r="J24" s="17"/>
      <c r="K24" s="12">
        <f t="shared" ref="K24:P24" si="0">K17</f>
        <v>1212.02</v>
      </c>
      <c r="L24" s="12">
        <f t="shared" si="0"/>
        <v>1212.02</v>
      </c>
      <c r="M24" s="12">
        <f t="shared" si="0"/>
        <v>1111.77</v>
      </c>
      <c r="N24" s="12">
        <f t="shared" si="0"/>
        <v>1329.22</v>
      </c>
      <c r="O24" s="12">
        <f t="shared" si="0"/>
        <v>1329.22</v>
      </c>
      <c r="P24" s="12">
        <f t="shared" si="0"/>
        <v>1329.22</v>
      </c>
      <c r="Q24" s="12">
        <f t="shared" ref="Q24:V24" si="1">Q17</f>
        <v>1329.22</v>
      </c>
      <c r="R24" s="12">
        <f>R17</f>
        <v>1329.22</v>
      </c>
      <c r="S24" s="12">
        <f t="shared" si="1"/>
        <v>1186.55</v>
      </c>
      <c r="T24" s="12">
        <f>T17</f>
        <v>1186.55</v>
      </c>
      <c r="U24" s="12">
        <f>U17</f>
        <v>1186.55</v>
      </c>
      <c r="V24" s="12">
        <f t="shared" si="1"/>
        <v>2188</v>
      </c>
      <c r="W24" s="12">
        <f t="shared" ref="W24:AB24" si="2">W17</f>
        <v>2188</v>
      </c>
      <c r="X24" s="12">
        <f t="shared" si="2"/>
        <v>1111.77</v>
      </c>
      <c r="Y24" s="12">
        <f t="shared" si="2"/>
        <v>1111.77</v>
      </c>
      <c r="Z24" s="12">
        <f t="shared" si="2"/>
        <v>1111.77</v>
      </c>
      <c r="AA24" s="12">
        <f t="shared" si="2"/>
        <v>1150.1400000000001</v>
      </c>
      <c r="AB24" s="12">
        <f t="shared" si="2"/>
        <v>1150.1400000000001</v>
      </c>
      <c r="AC24" s="44">
        <f t="shared" ref="AC24" si="3">AC17</f>
        <v>1150.1400000000001</v>
      </c>
    </row>
    <row r="25" spans="2:29" ht="15.75" customHeight="1">
      <c r="B25" s="15"/>
      <c r="C25" s="155" t="s">
        <v>23</v>
      </c>
      <c r="D25" s="185" t="s">
        <v>268</v>
      </c>
      <c r="E25" s="185"/>
      <c r="F25" s="185"/>
      <c r="G25" s="185"/>
      <c r="H25" s="185"/>
      <c r="I25" s="185"/>
      <c r="J25" s="17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44"/>
    </row>
    <row r="26" spans="2:29" ht="15.75" customHeight="1">
      <c r="B26" s="15"/>
      <c r="C26" s="155" t="s">
        <v>24</v>
      </c>
      <c r="D26" s="185" t="s">
        <v>264</v>
      </c>
      <c r="E26" s="185"/>
      <c r="F26" s="185"/>
      <c r="G26" s="185"/>
      <c r="H26" s="185"/>
      <c r="I26" s="185"/>
      <c r="J26" s="17"/>
      <c r="K26" s="29"/>
      <c r="L26" s="29"/>
      <c r="M26" s="29"/>
      <c r="N26" s="29"/>
      <c r="O26" s="118">
        <f>TRUNC(((O24/220)*20%)*8*15,2)</f>
        <v>145</v>
      </c>
      <c r="P26" s="65"/>
      <c r="Q26" s="65"/>
      <c r="R26" s="118">
        <f>TRUNC(((R24/220)*20%)*8*15,2)</f>
        <v>145</v>
      </c>
      <c r="S26" s="65"/>
      <c r="T26" s="118">
        <f>TRUNC(((T24/220)*20%)*2.25*26,2)</f>
        <v>63.1</v>
      </c>
      <c r="U26" s="118">
        <f>TRUNC((((U24)/220)*20%)*5.75*26,2)</f>
        <v>161.26</v>
      </c>
      <c r="V26" s="65"/>
      <c r="W26" s="118">
        <f>TRUNC((((W24)/220)*20%)*8*15,2)</f>
        <v>238.69</v>
      </c>
      <c r="X26" s="65"/>
      <c r="Y26" s="65"/>
      <c r="Z26" s="65"/>
      <c r="AA26" s="65"/>
      <c r="AB26" s="118">
        <f>TRUNC(((AB24/220)*20%)*8*15,2)</f>
        <v>125.46</v>
      </c>
      <c r="AC26" s="72">
        <v>0</v>
      </c>
    </row>
    <row r="27" spans="2:29" ht="15.75" customHeight="1">
      <c r="B27" s="15"/>
      <c r="C27" s="155" t="s">
        <v>25</v>
      </c>
      <c r="D27" s="185" t="s">
        <v>27</v>
      </c>
      <c r="E27" s="185"/>
      <c r="F27" s="185"/>
      <c r="G27" s="185"/>
      <c r="H27" s="185"/>
      <c r="I27" s="185"/>
      <c r="J27" s="17"/>
      <c r="K27" s="29"/>
      <c r="L27" s="29"/>
      <c r="M27" s="29"/>
      <c r="N27" s="29"/>
      <c r="O27" s="118">
        <f>TRUNC((O24/220)*1*15,2)</f>
        <v>90.62</v>
      </c>
      <c r="P27" s="65"/>
      <c r="Q27" s="65"/>
      <c r="R27" s="118">
        <f>TRUNC((R24/220)*1*15,2)</f>
        <v>90.62</v>
      </c>
      <c r="S27" s="65"/>
      <c r="T27" s="118">
        <f>TRUNC((T24/220)*0.25*26,2)</f>
        <v>35.049999999999997</v>
      </c>
      <c r="U27" s="118">
        <f>TRUNC(((U24)/220)*0.75*26,2)</f>
        <v>105.17</v>
      </c>
      <c r="V27" s="65"/>
      <c r="W27" s="118">
        <f>TRUNC(((W24)/220)*1*15,2)</f>
        <v>149.18</v>
      </c>
      <c r="X27" s="65"/>
      <c r="Y27" s="65"/>
      <c r="Z27" s="65"/>
      <c r="AA27" s="65"/>
      <c r="AB27" s="118">
        <f>TRUNC((AB24/220)*1*15,2)</f>
        <v>78.41</v>
      </c>
      <c r="AC27" s="72">
        <v>0</v>
      </c>
    </row>
    <row r="28" spans="2:29" ht="15.75" customHeight="1">
      <c r="B28" s="15"/>
      <c r="C28" s="155" t="s">
        <v>26</v>
      </c>
      <c r="D28" s="185" t="s">
        <v>29</v>
      </c>
      <c r="E28" s="185"/>
      <c r="F28" s="185"/>
      <c r="G28" s="185"/>
      <c r="H28" s="185"/>
      <c r="I28" s="185"/>
      <c r="J28" s="17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56"/>
    </row>
    <row r="29" spans="2:29" ht="15.75" customHeight="1" thickBot="1">
      <c r="B29" s="15"/>
      <c r="C29" s="186" t="s">
        <v>30</v>
      </c>
      <c r="D29" s="187"/>
      <c r="E29" s="187"/>
      <c r="F29" s="187"/>
      <c r="G29" s="187"/>
      <c r="H29" s="187"/>
      <c r="I29" s="187"/>
      <c r="J29" s="187"/>
      <c r="K29" s="33">
        <f t="shared" ref="K29:AB29" si="4">SUM(K24:K28)</f>
        <v>1212.02</v>
      </c>
      <c r="L29" s="33">
        <f t="shared" si="4"/>
        <v>1212.02</v>
      </c>
      <c r="M29" s="33">
        <f t="shared" si="4"/>
        <v>1111.77</v>
      </c>
      <c r="N29" s="33">
        <f t="shared" si="4"/>
        <v>1329.22</v>
      </c>
      <c r="O29" s="33">
        <f t="shared" si="4"/>
        <v>1564.8400000000001</v>
      </c>
      <c r="P29" s="33">
        <f t="shared" si="4"/>
        <v>1329.22</v>
      </c>
      <c r="Q29" s="33">
        <f t="shared" si="4"/>
        <v>1329.22</v>
      </c>
      <c r="R29" s="33">
        <f t="shared" si="4"/>
        <v>1564.8400000000001</v>
      </c>
      <c r="S29" s="33">
        <f t="shared" si="4"/>
        <v>1186.55</v>
      </c>
      <c r="T29" s="33">
        <f t="shared" si="4"/>
        <v>1284.6999999999998</v>
      </c>
      <c r="U29" s="33">
        <f t="shared" si="4"/>
        <v>1452.98</v>
      </c>
      <c r="V29" s="33">
        <f t="shared" si="4"/>
        <v>2188</v>
      </c>
      <c r="W29" s="33">
        <f t="shared" si="4"/>
        <v>2575.87</v>
      </c>
      <c r="X29" s="33">
        <f t="shared" si="4"/>
        <v>1111.77</v>
      </c>
      <c r="Y29" s="33">
        <f t="shared" si="4"/>
        <v>1111.77</v>
      </c>
      <c r="Z29" s="33">
        <f t="shared" si="4"/>
        <v>1111.77</v>
      </c>
      <c r="AA29" s="33">
        <f t="shared" si="4"/>
        <v>1150.1400000000001</v>
      </c>
      <c r="AB29" s="33">
        <f t="shared" si="4"/>
        <v>1354.0100000000002</v>
      </c>
      <c r="AC29" s="57">
        <f t="shared" ref="AC29" si="5">SUM(AC24:AC28)</f>
        <v>1150.1400000000001</v>
      </c>
    </row>
    <row r="30" spans="2:29" ht="15.75" customHeight="1" thickTop="1" thickBot="1">
      <c r="B30" s="15"/>
      <c r="C30" s="207"/>
      <c r="D30" s="207"/>
      <c r="E30" s="207"/>
      <c r="F30" s="207"/>
      <c r="G30" s="207"/>
      <c r="H30" s="207"/>
      <c r="I30" s="207"/>
      <c r="J30" s="207"/>
      <c r="K30" s="207"/>
      <c r="L30" s="90"/>
      <c r="M30" s="90"/>
      <c r="N30" s="63"/>
      <c r="O30" s="63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2:29" ht="15.75" customHeight="1" thickTop="1">
      <c r="B31" s="15"/>
      <c r="C31" s="169" t="s">
        <v>31</v>
      </c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  <c r="O31" s="170"/>
      <c r="P31" s="170"/>
      <c r="Q31" s="170"/>
      <c r="R31" s="170"/>
      <c r="S31" s="170"/>
      <c r="T31" s="170"/>
      <c r="U31" s="170"/>
      <c r="V31" s="170"/>
      <c r="W31" s="170"/>
      <c r="X31" s="170"/>
      <c r="Y31" s="170"/>
      <c r="Z31" s="170"/>
      <c r="AA31" s="170"/>
      <c r="AB31" s="170"/>
      <c r="AC31" s="171"/>
    </row>
    <row r="32" spans="2:29" ht="24.95" customHeight="1">
      <c r="B32" s="15"/>
      <c r="C32" s="183" t="s">
        <v>32</v>
      </c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4"/>
      <c r="U32" s="184"/>
      <c r="V32" s="184"/>
      <c r="W32" s="58"/>
      <c r="X32" s="58"/>
      <c r="Y32" s="58"/>
      <c r="Z32" s="58"/>
      <c r="AA32" s="58"/>
      <c r="AB32" s="58"/>
      <c r="AC32" s="59"/>
    </row>
    <row r="33" spans="2:29">
      <c r="B33" s="15"/>
      <c r="C33" s="183" t="s">
        <v>33</v>
      </c>
      <c r="D33" s="184"/>
      <c r="E33" s="184"/>
      <c r="F33" s="184"/>
      <c r="G33" s="184"/>
      <c r="H33" s="184"/>
      <c r="I33" s="184"/>
      <c r="J33" s="156" t="s">
        <v>19</v>
      </c>
      <c r="K33" s="156" t="s">
        <v>20</v>
      </c>
      <c r="L33" s="156"/>
      <c r="M33" s="156"/>
      <c r="N33" s="156" t="s">
        <v>20</v>
      </c>
      <c r="O33" s="156" t="s">
        <v>20</v>
      </c>
      <c r="P33" s="156" t="s">
        <v>20</v>
      </c>
      <c r="Q33" s="156" t="s">
        <v>20</v>
      </c>
      <c r="R33" s="156" t="s">
        <v>20</v>
      </c>
      <c r="S33" s="156" t="s">
        <v>20</v>
      </c>
      <c r="T33" s="156" t="s">
        <v>20</v>
      </c>
      <c r="U33" s="156" t="s">
        <v>20</v>
      </c>
      <c r="V33" s="156" t="s">
        <v>20</v>
      </c>
      <c r="W33" s="156" t="s">
        <v>20</v>
      </c>
      <c r="X33" s="156" t="s">
        <v>20</v>
      </c>
      <c r="Y33" s="156" t="s">
        <v>20</v>
      </c>
      <c r="Z33" s="156" t="s">
        <v>20</v>
      </c>
      <c r="AA33" s="156" t="s">
        <v>20</v>
      </c>
      <c r="AB33" s="156" t="s">
        <v>20</v>
      </c>
      <c r="AC33" s="104" t="s">
        <v>20</v>
      </c>
    </row>
    <row r="34" spans="2:29" ht="15" customHeight="1">
      <c r="B34" s="15"/>
      <c r="C34" s="155" t="s">
        <v>21</v>
      </c>
      <c r="D34" s="185" t="s">
        <v>34</v>
      </c>
      <c r="E34" s="185"/>
      <c r="F34" s="185"/>
      <c r="G34" s="185"/>
      <c r="H34" s="185"/>
      <c r="I34" s="185"/>
      <c r="J34" s="20">
        <f>1/12</f>
        <v>8.3333333333333329E-2</v>
      </c>
      <c r="K34" s="29">
        <f t="shared" ref="K34:Z34" si="6">TRUNC($J34*K29,2)</f>
        <v>101</v>
      </c>
      <c r="L34" s="29">
        <f t="shared" si="6"/>
        <v>101</v>
      </c>
      <c r="M34" s="29">
        <f t="shared" si="6"/>
        <v>92.64</v>
      </c>
      <c r="N34" s="29">
        <f t="shared" si="6"/>
        <v>110.76</v>
      </c>
      <c r="O34" s="29">
        <f t="shared" si="6"/>
        <v>130.4</v>
      </c>
      <c r="P34" s="29">
        <f t="shared" si="6"/>
        <v>110.76</v>
      </c>
      <c r="Q34" s="29">
        <f t="shared" si="6"/>
        <v>110.76</v>
      </c>
      <c r="R34" s="29">
        <f t="shared" si="6"/>
        <v>130.4</v>
      </c>
      <c r="S34" s="29">
        <f t="shared" si="6"/>
        <v>98.87</v>
      </c>
      <c r="T34" s="29">
        <f t="shared" si="6"/>
        <v>107.05</v>
      </c>
      <c r="U34" s="29">
        <f t="shared" si="6"/>
        <v>121.08</v>
      </c>
      <c r="V34" s="29">
        <f t="shared" si="6"/>
        <v>182.33</v>
      </c>
      <c r="W34" s="29">
        <f t="shared" si="6"/>
        <v>214.65</v>
      </c>
      <c r="X34" s="29">
        <f t="shared" si="6"/>
        <v>92.64</v>
      </c>
      <c r="Y34" s="29">
        <f t="shared" si="6"/>
        <v>92.64</v>
      </c>
      <c r="Z34" s="29">
        <f t="shared" si="6"/>
        <v>92.64</v>
      </c>
      <c r="AA34" s="29">
        <f t="shared" ref="AA34:AB34" si="7">TRUNC($J34*AA29,2)</f>
        <v>95.84</v>
      </c>
      <c r="AB34" s="29">
        <f t="shared" si="7"/>
        <v>112.83</v>
      </c>
      <c r="AC34" s="56">
        <f t="shared" ref="AC34" si="8">TRUNC($J34*AC29,2)</f>
        <v>95.84</v>
      </c>
    </row>
    <row r="35" spans="2:29" ht="15" customHeight="1">
      <c r="B35" s="15"/>
      <c r="C35" s="155" t="s">
        <v>23</v>
      </c>
      <c r="D35" s="185" t="s">
        <v>35</v>
      </c>
      <c r="E35" s="185"/>
      <c r="F35" s="185"/>
      <c r="G35" s="185"/>
      <c r="H35" s="185"/>
      <c r="I35" s="185"/>
      <c r="J35" s="3">
        <v>0.121</v>
      </c>
      <c r="K35" s="29">
        <f>TRUNC($J35*K29,2)</f>
        <v>146.65</v>
      </c>
      <c r="L35" s="29">
        <f>TRUNC($J35*L29,2)</f>
        <v>146.65</v>
      </c>
      <c r="M35" s="29">
        <f t="shared" ref="M35:S35" si="9">TRUNC($J35*M29,2)</f>
        <v>134.52000000000001</v>
      </c>
      <c r="N35" s="29">
        <f>TRUNC($J35*N29,2)</f>
        <v>160.83000000000001</v>
      </c>
      <c r="O35" s="29">
        <f>TRUNC($J35*O29,2)</f>
        <v>189.34</v>
      </c>
      <c r="P35" s="29">
        <f t="shared" si="9"/>
        <v>160.83000000000001</v>
      </c>
      <c r="Q35" s="29">
        <f t="shared" si="9"/>
        <v>160.83000000000001</v>
      </c>
      <c r="R35" s="29">
        <f t="shared" si="9"/>
        <v>189.34</v>
      </c>
      <c r="S35" s="29">
        <f t="shared" si="9"/>
        <v>143.57</v>
      </c>
      <c r="T35" s="29">
        <f t="shared" ref="T35:Z35" si="10">TRUNC($J35*T29,2)</f>
        <v>155.44</v>
      </c>
      <c r="U35" s="29">
        <f t="shared" si="10"/>
        <v>175.81</v>
      </c>
      <c r="V35" s="29">
        <f t="shared" si="10"/>
        <v>264.74</v>
      </c>
      <c r="W35" s="29">
        <f t="shared" si="10"/>
        <v>311.68</v>
      </c>
      <c r="X35" s="29">
        <f t="shared" si="10"/>
        <v>134.52000000000001</v>
      </c>
      <c r="Y35" s="29">
        <f t="shared" si="10"/>
        <v>134.52000000000001</v>
      </c>
      <c r="Z35" s="29">
        <f t="shared" si="10"/>
        <v>134.52000000000001</v>
      </c>
      <c r="AA35" s="29">
        <f t="shared" ref="AA35:AB35" si="11">TRUNC($J35*AA29,2)</f>
        <v>139.16</v>
      </c>
      <c r="AB35" s="29">
        <f t="shared" si="11"/>
        <v>163.83000000000001</v>
      </c>
      <c r="AC35" s="56">
        <f t="shared" ref="AC35" si="12">TRUNC($J35*AC29,2)</f>
        <v>139.16</v>
      </c>
    </row>
    <row r="36" spans="2:29">
      <c r="B36" s="15"/>
      <c r="C36" s="183" t="s">
        <v>36</v>
      </c>
      <c r="D36" s="184"/>
      <c r="E36" s="184"/>
      <c r="F36" s="184"/>
      <c r="G36" s="184"/>
      <c r="H36" s="184"/>
      <c r="I36" s="184"/>
      <c r="J36" s="4">
        <f t="shared" ref="J36:V36" si="13">SUM(J34:J35)</f>
        <v>0.20433333333333331</v>
      </c>
      <c r="K36" s="29">
        <f t="shared" si="13"/>
        <v>247.65</v>
      </c>
      <c r="L36" s="29">
        <f t="shared" si="13"/>
        <v>247.65</v>
      </c>
      <c r="M36" s="29">
        <f t="shared" si="13"/>
        <v>227.16000000000003</v>
      </c>
      <c r="N36" s="29">
        <f>SUM(N34:N35)</f>
        <v>271.59000000000003</v>
      </c>
      <c r="O36" s="29">
        <f>SUM(O34:O35)</f>
        <v>319.74</v>
      </c>
      <c r="P36" s="29">
        <f t="shared" si="13"/>
        <v>271.59000000000003</v>
      </c>
      <c r="Q36" s="29">
        <f t="shared" si="13"/>
        <v>271.59000000000003</v>
      </c>
      <c r="R36" s="29">
        <f t="shared" si="13"/>
        <v>319.74</v>
      </c>
      <c r="S36" s="29">
        <f t="shared" si="13"/>
        <v>242.44</v>
      </c>
      <c r="T36" s="29">
        <f>SUM(T34:T35)</f>
        <v>262.49</v>
      </c>
      <c r="U36" s="29">
        <f>SUM(U34:U35)</f>
        <v>296.89</v>
      </c>
      <c r="V36" s="29">
        <f t="shared" si="13"/>
        <v>447.07000000000005</v>
      </c>
      <c r="W36" s="29">
        <f t="shared" ref="W36:AB36" si="14">SUM(W34:W35)</f>
        <v>526.33000000000004</v>
      </c>
      <c r="X36" s="29">
        <f t="shared" si="14"/>
        <v>227.16000000000003</v>
      </c>
      <c r="Y36" s="29">
        <f t="shared" si="14"/>
        <v>227.16000000000003</v>
      </c>
      <c r="Z36" s="29">
        <f t="shared" si="14"/>
        <v>227.16000000000003</v>
      </c>
      <c r="AA36" s="29">
        <f t="shared" si="14"/>
        <v>235</v>
      </c>
      <c r="AB36" s="29">
        <f t="shared" si="14"/>
        <v>276.66000000000003</v>
      </c>
      <c r="AC36" s="56">
        <f t="shared" ref="AC36" si="15">SUM(AC34:AC35)</f>
        <v>235</v>
      </c>
    </row>
    <row r="37" spans="2:29" ht="15" customHeight="1">
      <c r="B37" s="15"/>
      <c r="C37" s="183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4"/>
      <c r="U37" s="184"/>
      <c r="V37" s="184"/>
      <c r="W37" s="184"/>
      <c r="X37" s="184"/>
      <c r="Y37" s="184"/>
      <c r="Z37" s="184"/>
      <c r="AA37" s="184"/>
      <c r="AB37" s="58"/>
      <c r="AC37" s="59"/>
    </row>
    <row r="38" spans="2:29" ht="15" customHeight="1">
      <c r="B38" s="15"/>
      <c r="C38" s="172" t="s">
        <v>37</v>
      </c>
      <c r="D38" s="173"/>
      <c r="E38" s="173"/>
      <c r="F38" s="173"/>
      <c r="G38" s="173"/>
      <c r="H38" s="173"/>
      <c r="I38" s="173"/>
      <c r="J38" s="173"/>
      <c r="K38" s="173"/>
      <c r="L38" s="173"/>
      <c r="M38" s="173"/>
      <c r="N38" s="173"/>
      <c r="O38" s="173"/>
      <c r="P38" s="173"/>
      <c r="Q38" s="173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4"/>
    </row>
    <row r="39" spans="2:29">
      <c r="B39" s="15"/>
      <c r="C39" s="205" t="s">
        <v>38</v>
      </c>
      <c r="D39" s="206"/>
      <c r="E39" s="206"/>
      <c r="F39" s="206"/>
      <c r="G39" s="206"/>
      <c r="H39" s="206"/>
      <c r="I39" s="206"/>
      <c r="J39" s="156" t="s">
        <v>19</v>
      </c>
      <c r="K39" s="156" t="s">
        <v>20</v>
      </c>
      <c r="L39" s="156" t="s">
        <v>20</v>
      </c>
      <c r="M39" s="156"/>
      <c r="N39" s="156" t="s">
        <v>20</v>
      </c>
      <c r="O39" s="156" t="s">
        <v>20</v>
      </c>
      <c r="P39" s="156" t="s">
        <v>20</v>
      </c>
      <c r="Q39" s="156" t="s">
        <v>20</v>
      </c>
      <c r="R39" s="156" t="s">
        <v>20</v>
      </c>
      <c r="S39" s="156" t="s">
        <v>20</v>
      </c>
      <c r="T39" s="156" t="s">
        <v>20</v>
      </c>
      <c r="U39" s="156" t="s">
        <v>20</v>
      </c>
      <c r="V39" s="156" t="s">
        <v>20</v>
      </c>
      <c r="W39" s="156" t="s">
        <v>20</v>
      </c>
      <c r="X39" s="156" t="s">
        <v>20</v>
      </c>
      <c r="Y39" s="156" t="s">
        <v>20</v>
      </c>
      <c r="Z39" s="156" t="s">
        <v>20</v>
      </c>
      <c r="AA39" s="156" t="s">
        <v>20</v>
      </c>
      <c r="AB39" s="156" t="s">
        <v>20</v>
      </c>
      <c r="AC39" s="104" t="s">
        <v>20</v>
      </c>
    </row>
    <row r="40" spans="2:29" ht="15" customHeight="1">
      <c r="B40" s="15"/>
      <c r="C40" s="155" t="s">
        <v>21</v>
      </c>
      <c r="D40" s="185" t="s">
        <v>39</v>
      </c>
      <c r="E40" s="185"/>
      <c r="F40" s="185"/>
      <c r="G40" s="185"/>
      <c r="H40" s="185"/>
      <c r="I40" s="185"/>
      <c r="J40" s="3">
        <v>0.2</v>
      </c>
      <c r="K40" s="29">
        <f t="shared" ref="K40:K47" si="16">TRUNC($J40*($K$29+$K$36),2)</f>
        <v>291.93</v>
      </c>
      <c r="L40" s="29">
        <f t="shared" ref="L40:L47" si="17">TRUNC($J40*($L$29+$L$36),2)</f>
        <v>291.93</v>
      </c>
      <c r="M40" s="29">
        <f t="shared" ref="M40:M47" si="18">TRUNC($J40*($M$29+$M$36),2)</f>
        <v>267.77999999999997</v>
      </c>
      <c r="N40" s="29">
        <f t="shared" ref="N40:N47" si="19">TRUNC($J40*($N$29+$N$36),2)</f>
        <v>320.16000000000003</v>
      </c>
      <c r="O40" s="29">
        <f t="shared" ref="O40:O47" si="20">TRUNC($J40*($O$29+$O$36),2)</f>
        <v>376.91</v>
      </c>
      <c r="P40" s="29">
        <f t="shared" ref="P40:P47" si="21">TRUNC($J40*($P$29+$P$36),2)</f>
        <v>320.16000000000003</v>
      </c>
      <c r="Q40" s="29">
        <f t="shared" ref="Q40:Q47" si="22">TRUNC($J40*($Q$29+$Q$36),2)</f>
        <v>320.16000000000003</v>
      </c>
      <c r="R40" s="29">
        <f t="shared" ref="R40:R47" si="23">TRUNC($J40*($R$29+$R$36),2)</f>
        <v>376.91</v>
      </c>
      <c r="S40" s="29">
        <f t="shared" ref="S40:S47" si="24">TRUNC($J40*($S$29+$S$36),2)</f>
        <v>285.79000000000002</v>
      </c>
      <c r="T40" s="29">
        <f t="shared" ref="T40:T47" si="25">TRUNC($J40*($T$29+$T$36),2)</f>
        <v>309.43</v>
      </c>
      <c r="U40" s="29">
        <f t="shared" ref="U40:U47" si="26">TRUNC($J40*($U$29+$U$36),2)</f>
        <v>349.97</v>
      </c>
      <c r="V40" s="29">
        <f t="shared" ref="V40:V47" si="27">TRUNC($J40*($V$29+$V$36),2)</f>
        <v>527.01</v>
      </c>
      <c r="W40" s="29">
        <f t="shared" ref="W40:AC40" si="28">TRUNC($J40*(W$29+W$36),2)</f>
        <v>620.44000000000005</v>
      </c>
      <c r="X40" s="29">
        <f t="shared" si="28"/>
        <v>267.77999999999997</v>
      </c>
      <c r="Y40" s="29">
        <f t="shared" si="28"/>
        <v>267.77999999999997</v>
      </c>
      <c r="Z40" s="29">
        <f t="shared" si="28"/>
        <v>267.77999999999997</v>
      </c>
      <c r="AA40" s="29">
        <f t="shared" si="28"/>
        <v>277.02</v>
      </c>
      <c r="AB40" s="29">
        <f t="shared" si="28"/>
        <v>326.13</v>
      </c>
      <c r="AC40" s="56">
        <f t="shared" si="28"/>
        <v>277.02</v>
      </c>
    </row>
    <row r="41" spans="2:29" ht="15" customHeight="1">
      <c r="B41" s="15"/>
      <c r="C41" s="155" t="s">
        <v>23</v>
      </c>
      <c r="D41" s="185" t="s">
        <v>40</v>
      </c>
      <c r="E41" s="185"/>
      <c r="F41" s="185"/>
      <c r="G41" s="185"/>
      <c r="H41" s="185"/>
      <c r="I41" s="185"/>
      <c r="J41" s="3">
        <v>2.5000000000000001E-2</v>
      </c>
      <c r="K41" s="29">
        <f t="shared" si="16"/>
        <v>36.49</v>
      </c>
      <c r="L41" s="29">
        <f t="shared" si="17"/>
        <v>36.49</v>
      </c>
      <c r="M41" s="29">
        <f t="shared" si="18"/>
        <v>33.47</v>
      </c>
      <c r="N41" s="29">
        <f t="shared" si="19"/>
        <v>40.020000000000003</v>
      </c>
      <c r="O41" s="29">
        <f t="shared" si="20"/>
        <v>47.11</v>
      </c>
      <c r="P41" s="29">
        <f t="shared" si="21"/>
        <v>40.020000000000003</v>
      </c>
      <c r="Q41" s="29">
        <f t="shared" si="22"/>
        <v>40.020000000000003</v>
      </c>
      <c r="R41" s="29">
        <f t="shared" si="23"/>
        <v>47.11</v>
      </c>
      <c r="S41" s="29">
        <f t="shared" si="24"/>
        <v>35.72</v>
      </c>
      <c r="T41" s="29">
        <f t="shared" si="25"/>
        <v>38.67</v>
      </c>
      <c r="U41" s="29">
        <f t="shared" si="26"/>
        <v>43.74</v>
      </c>
      <c r="V41" s="29">
        <f t="shared" si="27"/>
        <v>65.87</v>
      </c>
      <c r="W41" s="29">
        <f t="shared" ref="W41:W47" si="29">TRUNC($J41*(W$29+W$36),2)</f>
        <v>77.55</v>
      </c>
      <c r="X41" s="29">
        <f t="shared" ref="X41:AC47" si="30">TRUNC($J41*(X$29+X$36),2)</f>
        <v>33.47</v>
      </c>
      <c r="Y41" s="29">
        <f t="shared" si="30"/>
        <v>33.47</v>
      </c>
      <c r="Z41" s="29">
        <f t="shared" si="30"/>
        <v>33.47</v>
      </c>
      <c r="AA41" s="29">
        <f t="shared" si="30"/>
        <v>34.619999999999997</v>
      </c>
      <c r="AB41" s="29">
        <f t="shared" si="30"/>
        <v>40.76</v>
      </c>
      <c r="AC41" s="56">
        <f t="shared" si="30"/>
        <v>34.619999999999997</v>
      </c>
    </row>
    <row r="42" spans="2:29">
      <c r="B42" s="15"/>
      <c r="C42" s="155" t="s">
        <v>24</v>
      </c>
      <c r="D42" s="185" t="s">
        <v>41</v>
      </c>
      <c r="E42" s="185"/>
      <c r="F42" s="185"/>
      <c r="G42" s="185"/>
      <c r="H42" s="185"/>
      <c r="I42" s="185"/>
      <c r="J42" s="3">
        <f>2*3%</f>
        <v>0.06</v>
      </c>
      <c r="K42" s="29">
        <f t="shared" si="16"/>
        <v>87.58</v>
      </c>
      <c r="L42" s="29">
        <f t="shared" si="17"/>
        <v>87.58</v>
      </c>
      <c r="M42" s="29">
        <f t="shared" si="18"/>
        <v>80.33</v>
      </c>
      <c r="N42" s="29">
        <f t="shared" si="19"/>
        <v>96.04</v>
      </c>
      <c r="O42" s="29">
        <f t="shared" si="20"/>
        <v>113.07</v>
      </c>
      <c r="P42" s="29">
        <f t="shared" si="21"/>
        <v>96.04</v>
      </c>
      <c r="Q42" s="29">
        <f t="shared" si="22"/>
        <v>96.04</v>
      </c>
      <c r="R42" s="29">
        <f t="shared" si="23"/>
        <v>113.07</v>
      </c>
      <c r="S42" s="29">
        <f t="shared" si="24"/>
        <v>85.73</v>
      </c>
      <c r="T42" s="29">
        <f t="shared" si="25"/>
        <v>92.83</v>
      </c>
      <c r="U42" s="29">
        <f t="shared" si="26"/>
        <v>104.99</v>
      </c>
      <c r="V42" s="29">
        <f t="shared" si="27"/>
        <v>158.1</v>
      </c>
      <c r="W42" s="29">
        <f t="shared" si="29"/>
        <v>186.13</v>
      </c>
      <c r="X42" s="29">
        <f t="shared" si="30"/>
        <v>80.33</v>
      </c>
      <c r="Y42" s="29">
        <f t="shared" si="30"/>
        <v>80.33</v>
      </c>
      <c r="Z42" s="29">
        <f t="shared" si="30"/>
        <v>80.33</v>
      </c>
      <c r="AA42" s="29">
        <f t="shared" si="30"/>
        <v>83.1</v>
      </c>
      <c r="AB42" s="29">
        <f t="shared" si="30"/>
        <v>97.84</v>
      </c>
      <c r="AC42" s="56">
        <f t="shared" si="30"/>
        <v>83.1</v>
      </c>
    </row>
    <row r="43" spans="2:29">
      <c r="B43" s="15"/>
      <c r="C43" s="155" t="s">
        <v>25</v>
      </c>
      <c r="D43" s="185" t="s">
        <v>42</v>
      </c>
      <c r="E43" s="185"/>
      <c r="F43" s="185"/>
      <c r="G43" s="185"/>
      <c r="H43" s="185"/>
      <c r="I43" s="185"/>
      <c r="J43" s="3">
        <v>1.4999999999999999E-2</v>
      </c>
      <c r="K43" s="29">
        <f t="shared" si="16"/>
        <v>21.89</v>
      </c>
      <c r="L43" s="29">
        <f t="shared" si="17"/>
        <v>21.89</v>
      </c>
      <c r="M43" s="29">
        <f t="shared" si="18"/>
        <v>20.079999999999998</v>
      </c>
      <c r="N43" s="29">
        <f t="shared" si="19"/>
        <v>24.01</v>
      </c>
      <c r="O43" s="29">
        <f t="shared" si="20"/>
        <v>28.26</v>
      </c>
      <c r="P43" s="29">
        <f t="shared" si="21"/>
        <v>24.01</v>
      </c>
      <c r="Q43" s="29">
        <f t="shared" si="22"/>
        <v>24.01</v>
      </c>
      <c r="R43" s="29">
        <f t="shared" si="23"/>
        <v>28.26</v>
      </c>
      <c r="S43" s="29">
        <f t="shared" si="24"/>
        <v>21.43</v>
      </c>
      <c r="T43" s="29">
        <f t="shared" si="25"/>
        <v>23.2</v>
      </c>
      <c r="U43" s="29">
        <f t="shared" si="26"/>
        <v>26.24</v>
      </c>
      <c r="V43" s="29">
        <f t="shared" si="27"/>
        <v>39.520000000000003</v>
      </c>
      <c r="W43" s="29">
        <f t="shared" si="29"/>
        <v>46.53</v>
      </c>
      <c r="X43" s="29">
        <f t="shared" si="30"/>
        <v>20.079999999999998</v>
      </c>
      <c r="Y43" s="29">
        <f t="shared" si="30"/>
        <v>20.079999999999998</v>
      </c>
      <c r="Z43" s="29">
        <f t="shared" si="30"/>
        <v>20.079999999999998</v>
      </c>
      <c r="AA43" s="29">
        <f t="shared" si="30"/>
        <v>20.77</v>
      </c>
      <c r="AB43" s="29">
        <f t="shared" si="30"/>
        <v>24.46</v>
      </c>
      <c r="AC43" s="56">
        <f t="shared" si="30"/>
        <v>20.77</v>
      </c>
    </row>
    <row r="44" spans="2:29">
      <c r="B44" s="15"/>
      <c r="C44" s="155" t="s">
        <v>26</v>
      </c>
      <c r="D44" s="185" t="s">
        <v>43</v>
      </c>
      <c r="E44" s="185"/>
      <c r="F44" s="185"/>
      <c r="G44" s="185"/>
      <c r="H44" s="185"/>
      <c r="I44" s="185"/>
      <c r="J44" s="3">
        <v>0.01</v>
      </c>
      <c r="K44" s="29">
        <f t="shared" si="16"/>
        <v>14.59</v>
      </c>
      <c r="L44" s="29">
        <f t="shared" si="17"/>
        <v>14.59</v>
      </c>
      <c r="M44" s="29">
        <f t="shared" si="18"/>
        <v>13.38</v>
      </c>
      <c r="N44" s="29">
        <f t="shared" si="19"/>
        <v>16</v>
      </c>
      <c r="O44" s="29">
        <f t="shared" si="20"/>
        <v>18.84</v>
      </c>
      <c r="P44" s="29">
        <f t="shared" si="21"/>
        <v>16</v>
      </c>
      <c r="Q44" s="29">
        <f t="shared" si="22"/>
        <v>16</v>
      </c>
      <c r="R44" s="29">
        <f t="shared" si="23"/>
        <v>18.84</v>
      </c>
      <c r="S44" s="29">
        <f t="shared" si="24"/>
        <v>14.28</v>
      </c>
      <c r="T44" s="29">
        <f t="shared" si="25"/>
        <v>15.47</v>
      </c>
      <c r="U44" s="29">
        <f t="shared" si="26"/>
        <v>17.489999999999998</v>
      </c>
      <c r="V44" s="29">
        <f t="shared" si="27"/>
        <v>26.35</v>
      </c>
      <c r="W44" s="29">
        <f t="shared" si="29"/>
        <v>31.02</v>
      </c>
      <c r="X44" s="29">
        <f t="shared" si="30"/>
        <v>13.38</v>
      </c>
      <c r="Y44" s="29">
        <f t="shared" si="30"/>
        <v>13.38</v>
      </c>
      <c r="Z44" s="29">
        <f t="shared" si="30"/>
        <v>13.38</v>
      </c>
      <c r="AA44" s="29">
        <f t="shared" si="30"/>
        <v>13.85</v>
      </c>
      <c r="AB44" s="29">
        <f t="shared" si="30"/>
        <v>16.3</v>
      </c>
      <c r="AC44" s="56">
        <f t="shared" si="30"/>
        <v>13.85</v>
      </c>
    </row>
    <row r="45" spans="2:29">
      <c r="B45" s="15"/>
      <c r="C45" s="155" t="s">
        <v>28</v>
      </c>
      <c r="D45" s="185" t="s">
        <v>44</v>
      </c>
      <c r="E45" s="185"/>
      <c r="F45" s="185"/>
      <c r="G45" s="185"/>
      <c r="H45" s="185"/>
      <c r="I45" s="185"/>
      <c r="J45" s="3">
        <v>6.0000000000000001E-3</v>
      </c>
      <c r="K45" s="29">
        <f t="shared" si="16"/>
        <v>8.75</v>
      </c>
      <c r="L45" s="29">
        <f t="shared" si="17"/>
        <v>8.75</v>
      </c>
      <c r="M45" s="29">
        <f t="shared" si="18"/>
        <v>8.0299999999999994</v>
      </c>
      <c r="N45" s="29">
        <f t="shared" si="19"/>
        <v>9.6</v>
      </c>
      <c r="O45" s="29">
        <f t="shared" si="20"/>
        <v>11.3</v>
      </c>
      <c r="P45" s="29">
        <f t="shared" si="21"/>
        <v>9.6</v>
      </c>
      <c r="Q45" s="29">
        <f t="shared" si="22"/>
        <v>9.6</v>
      </c>
      <c r="R45" s="29">
        <f t="shared" si="23"/>
        <v>11.3</v>
      </c>
      <c r="S45" s="29">
        <f t="shared" si="24"/>
        <v>8.57</v>
      </c>
      <c r="T45" s="29">
        <f t="shared" si="25"/>
        <v>9.2799999999999994</v>
      </c>
      <c r="U45" s="29">
        <f t="shared" si="26"/>
        <v>10.49</v>
      </c>
      <c r="V45" s="29">
        <f t="shared" si="27"/>
        <v>15.81</v>
      </c>
      <c r="W45" s="29">
        <f t="shared" si="29"/>
        <v>18.61</v>
      </c>
      <c r="X45" s="29">
        <f t="shared" si="30"/>
        <v>8.0299999999999994</v>
      </c>
      <c r="Y45" s="29">
        <f t="shared" si="30"/>
        <v>8.0299999999999994</v>
      </c>
      <c r="Z45" s="29">
        <f t="shared" si="30"/>
        <v>8.0299999999999994</v>
      </c>
      <c r="AA45" s="29">
        <f t="shared" si="30"/>
        <v>8.31</v>
      </c>
      <c r="AB45" s="29">
        <f t="shared" si="30"/>
        <v>9.7799999999999994</v>
      </c>
      <c r="AC45" s="56">
        <f t="shared" si="30"/>
        <v>8.31</v>
      </c>
    </row>
    <row r="46" spans="2:29">
      <c r="B46" s="15"/>
      <c r="C46" s="155" t="s">
        <v>45</v>
      </c>
      <c r="D46" s="185" t="s">
        <v>46</v>
      </c>
      <c r="E46" s="185"/>
      <c r="F46" s="185"/>
      <c r="G46" s="185"/>
      <c r="H46" s="185"/>
      <c r="I46" s="185"/>
      <c r="J46" s="3">
        <v>2E-3</v>
      </c>
      <c r="K46" s="29">
        <f t="shared" si="16"/>
        <v>2.91</v>
      </c>
      <c r="L46" s="29">
        <f t="shared" si="17"/>
        <v>2.91</v>
      </c>
      <c r="M46" s="29">
        <f t="shared" si="18"/>
        <v>2.67</v>
      </c>
      <c r="N46" s="29">
        <f t="shared" si="19"/>
        <v>3.2</v>
      </c>
      <c r="O46" s="29">
        <f t="shared" si="20"/>
        <v>3.76</v>
      </c>
      <c r="P46" s="29">
        <f t="shared" si="21"/>
        <v>3.2</v>
      </c>
      <c r="Q46" s="29">
        <f t="shared" si="22"/>
        <v>3.2</v>
      </c>
      <c r="R46" s="29">
        <f t="shared" si="23"/>
        <v>3.76</v>
      </c>
      <c r="S46" s="29">
        <f t="shared" si="24"/>
        <v>2.85</v>
      </c>
      <c r="T46" s="29">
        <f t="shared" si="25"/>
        <v>3.09</v>
      </c>
      <c r="U46" s="29">
        <f t="shared" si="26"/>
        <v>3.49</v>
      </c>
      <c r="V46" s="29">
        <f t="shared" si="27"/>
        <v>5.27</v>
      </c>
      <c r="W46" s="29">
        <f t="shared" si="29"/>
        <v>6.2</v>
      </c>
      <c r="X46" s="29">
        <f t="shared" si="30"/>
        <v>2.67</v>
      </c>
      <c r="Y46" s="29">
        <f t="shared" si="30"/>
        <v>2.67</v>
      </c>
      <c r="Z46" s="29">
        <f t="shared" si="30"/>
        <v>2.67</v>
      </c>
      <c r="AA46" s="29">
        <f t="shared" si="30"/>
        <v>2.77</v>
      </c>
      <c r="AB46" s="29">
        <f t="shared" si="30"/>
        <v>3.26</v>
      </c>
      <c r="AC46" s="56">
        <f t="shared" si="30"/>
        <v>2.77</v>
      </c>
    </row>
    <row r="47" spans="2:29">
      <c r="B47" s="15"/>
      <c r="C47" s="155" t="s">
        <v>47</v>
      </c>
      <c r="D47" s="185" t="s">
        <v>48</v>
      </c>
      <c r="E47" s="185"/>
      <c r="F47" s="185"/>
      <c r="G47" s="185"/>
      <c r="H47" s="185"/>
      <c r="I47" s="185"/>
      <c r="J47" s="3">
        <v>0.08</v>
      </c>
      <c r="K47" s="29">
        <f t="shared" si="16"/>
        <v>116.77</v>
      </c>
      <c r="L47" s="29">
        <f t="shared" si="17"/>
        <v>116.77</v>
      </c>
      <c r="M47" s="29">
        <f t="shared" si="18"/>
        <v>107.11</v>
      </c>
      <c r="N47" s="29">
        <f t="shared" si="19"/>
        <v>128.06</v>
      </c>
      <c r="O47" s="29">
        <f t="shared" si="20"/>
        <v>150.76</v>
      </c>
      <c r="P47" s="29">
        <f t="shared" si="21"/>
        <v>128.06</v>
      </c>
      <c r="Q47" s="29">
        <f t="shared" si="22"/>
        <v>128.06</v>
      </c>
      <c r="R47" s="29">
        <f t="shared" si="23"/>
        <v>150.76</v>
      </c>
      <c r="S47" s="29">
        <f t="shared" si="24"/>
        <v>114.31</v>
      </c>
      <c r="T47" s="29">
        <f t="shared" si="25"/>
        <v>123.77</v>
      </c>
      <c r="U47" s="29">
        <f t="shared" si="26"/>
        <v>139.97999999999999</v>
      </c>
      <c r="V47" s="29">
        <f t="shared" si="27"/>
        <v>210.8</v>
      </c>
      <c r="W47" s="29">
        <f t="shared" si="29"/>
        <v>248.17</v>
      </c>
      <c r="X47" s="29">
        <f t="shared" si="30"/>
        <v>107.11</v>
      </c>
      <c r="Y47" s="29">
        <f t="shared" si="30"/>
        <v>107.11</v>
      </c>
      <c r="Z47" s="29">
        <f t="shared" si="30"/>
        <v>107.11</v>
      </c>
      <c r="AA47" s="29">
        <f t="shared" si="30"/>
        <v>110.81</v>
      </c>
      <c r="AB47" s="29">
        <f t="shared" si="30"/>
        <v>130.44999999999999</v>
      </c>
      <c r="AC47" s="56">
        <f t="shared" si="30"/>
        <v>110.81</v>
      </c>
    </row>
    <row r="48" spans="2:29">
      <c r="B48" s="15"/>
      <c r="C48" s="183" t="s">
        <v>49</v>
      </c>
      <c r="D48" s="184"/>
      <c r="E48" s="184"/>
      <c r="F48" s="184"/>
      <c r="G48" s="184"/>
      <c r="H48" s="184"/>
      <c r="I48" s="184"/>
      <c r="J48" s="4">
        <f t="shared" ref="J48:V48" si="31">SUM(J40:J47)</f>
        <v>0.39800000000000008</v>
      </c>
      <c r="K48" s="28">
        <f t="shared" si="31"/>
        <v>580.91</v>
      </c>
      <c r="L48" s="28">
        <f t="shared" si="31"/>
        <v>580.91</v>
      </c>
      <c r="M48" s="28">
        <f t="shared" si="31"/>
        <v>532.84999999999991</v>
      </c>
      <c r="N48" s="28">
        <f t="shared" si="31"/>
        <v>637.09</v>
      </c>
      <c r="O48" s="28">
        <f t="shared" si="31"/>
        <v>750.01</v>
      </c>
      <c r="P48" s="28">
        <f t="shared" si="31"/>
        <v>637.09</v>
      </c>
      <c r="Q48" s="28">
        <f t="shared" si="31"/>
        <v>637.09</v>
      </c>
      <c r="R48" s="28">
        <f t="shared" si="31"/>
        <v>750.01</v>
      </c>
      <c r="S48" s="28">
        <f t="shared" si="31"/>
        <v>568.68000000000006</v>
      </c>
      <c r="T48" s="28">
        <f t="shared" si="31"/>
        <v>615.74</v>
      </c>
      <c r="U48" s="28">
        <f t="shared" si="31"/>
        <v>696.3900000000001</v>
      </c>
      <c r="V48" s="28">
        <f t="shared" si="31"/>
        <v>1048.73</v>
      </c>
      <c r="W48" s="28">
        <f t="shared" ref="W48:AB48" si="32">SUM(W40:W47)</f>
        <v>1234.6500000000001</v>
      </c>
      <c r="X48" s="28">
        <f t="shared" si="32"/>
        <v>532.84999999999991</v>
      </c>
      <c r="Y48" s="28">
        <f t="shared" si="32"/>
        <v>532.84999999999991</v>
      </c>
      <c r="Z48" s="28">
        <f t="shared" si="32"/>
        <v>532.84999999999991</v>
      </c>
      <c r="AA48" s="28">
        <f t="shared" si="32"/>
        <v>551.25</v>
      </c>
      <c r="AB48" s="28">
        <f t="shared" si="32"/>
        <v>648.98</v>
      </c>
      <c r="AC48" s="60">
        <f t="shared" ref="AC48" si="33">SUM(AC40:AC47)</f>
        <v>551.25</v>
      </c>
    </row>
    <row r="49" spans="2:33" ht="15.75" customHeight="1">
      <c r="B49" s="15"/>
      <c r="C49" s="183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4"/>
      <c r="S49" s="184"/>
      <c r="T49" s="184"/>
      <c r="U49" s="184"/>
      <c r="V49" s="184"/>
      <c r="W49" s="184"/>
      <c r="X49" s="184"/>
      <c r="Y49" s="184"/>
      <c r="Z49" s="184"/>
      <c r="AA49" s="184"/>
      <c r="AB49" s="184"/>
      <c r="AC49" s="189"/>
    </row>
    <row r="50" spans="2:33" ht="15.75" customHeight="1">
      <c r="B50" s="15"/>
      <c r="C50" s="175" t="s">
        <v>50</v>
      </c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  <c r="O50" s="176"/>
      <c r="P50" s="176"/>
      <c r="Q50" s="176"/>
      <c r="R50" s="176"/>
      <c r="S50" s="176"/>
      <c r="T50" s="176"/>
      <c r="U50" s="176"/>
      <c r="V50" s="176"/>
      <c r="W50" s="176"/>
      <c r="X50" s="176"/>
      <c r="Y50" s="176"/>
      <c r="Z50" s="176"/>
      <c r="AA50" s="176"/>
      <c r="AB50" s="176"/>
      <c r="AC50" s="177"/>
    </row>
    <row r="51" spans="2:33" ht="15.4" customHeight="1">
      <c r="B51" s="15"/>
      <c r="C51" s="183" t="s">
        <v>51</v>
      </c>
      <c r="D51" s="184"/>
      <c r="E51" s="184"/>
      <c r="F51" s="184"/>
      <c r="G51" s="184"/>
      <c r="H51" s="184"/>
      <c r="I51" s="184"/>
      <c r="J51" s="184"/>
      <c r="K51" s="156" t="s">
        <v>20</v>
      </c>
      <c r="L51" s="156"/>
      <c r="M51" s="156"/>
      <c r="N51" s="156" t="s">
        <v>20</v>
      </c>
      <c r="O51" s="156" t="s">
        <v>20</v>
      </c>
      <c r="P51" s="156" t="s">
        <v>20</v>
      </c>
      <c r="Q51" s="156" t="s">
        <v>20</v>
      </c>
      <c r="R51" s="156" t="s">
        <v>20</v>
      </c>
      <c r="S51" s="156" t="s">
        <v>20</v>
      </c>
      <c r="T51" s="156" t="s">
        <v>20</v>
      </c>
      <c r="U51" s="156" t="s">
        <v>20</v>
      </c>
      <c r="V51" s="156" t="s">
        <v>20</v>
      </c>
      <c r="W51" s="156" t="s">
        <v>20</v>
      </c>
      <c r="X51" s="156" t="s">
        <v>20</v>
      </c>
      <c r="Y51" s="156" t="s">
        <v>20</v>
      </c>
      <c r="Z51" s="156" t="s">
        <v>20</v>
      </c>
      <c r="AA51" s="156" t="s">
        <v>20</v>
      </c>
      <c r="AB51" s="156" t="s">
        <v>20</v>
      </c>
      <c r="AC51" s="104" t="s">
        <v>20</v>
      </c>
    </row>
    <row r="52" spans="2:33" ht="15.4" customHeight="1">
      <c r="B52" s="15"/>
      <c r="C52" s="155" t="s">
        <v>21</v>
      </c>
      <c r="D52" s="185" t="s">
        <v>270</v>
      </c>
      <c r="E52" s="185"/>
      <c r="F52" s="185"/>
      <c r="G52" s="185"/>
      <c r="H52" s="185"/>
      <c r="I52" s="46" t="s">
        <v>52</v>
      </c>
      <c r="J52" s="153">
        <v>3.7</v>
      </c>
      <c r="K52" s="29">
        <f>TRUNC((($J$52*2*21)-(K24*6%)),2)</f>
        <v>82.67</v>
      </c>
      <c r="L52" s="29">
        <f>TRUNC((($J$52*2*15)-(L24*6%)),2)</f>
        <v>38.270000000000003</v>
      </c>
      <c r="M52" s="29">
        <f t="shared" ref="M52:Z52" si="34">TRUNC((($J$52*2*21)-(M24*6%)),2)</f>
        <v>88.69</v>
      </c>
      <c r="N52" s="29">
        <f>TRUNC((($J$52*2*15)-(N24*6%)),2)</f>
        <v>31.24</v>
      </c>
      <c r="O52" s="29">
        <f>TRUNC((($J$52*2*15)-(O24*6%)),2)</f>
        <v>31.24</v>
      </c>
      <c r="P52" s="29">
        <f t="shared" si="34"/>
        <v>75.64</v>
      </c>
      <c r="Q52" s="29">
        <f>TRUNC((($J$52*2*15)-(Q24*6%)),2)</f>
        <v>31.24</v>
      </c>
      <c r="R52" s="29">
        <f>TRUNC((($J$52*2*15)-(R24*6%)),2)</f>
        <v>31.24</v>
      </c>
      <c r="S52" s="29">
        <f>TRUNC((($J$52*2*26)-(S24*6%)),2)</f>
        <v>121.2</v>
      </c>
      <c r="T52" s="29">
        <f>TRUNC((($J$52*2*26)-(T24*6%)),2)</f>
        <v>121.2</v>
      </c>
      <c r="U52" s="29">
        <f>TRUNC((($J$52*2*26)-(U24*6%)),2)</f>
        <v>121.2</v>
      </c>
      <c r="V52" s="29">
        <v>0</v>
      </c>
      <c r="W52" s="29">
        <v>0</v>
      </c>
      <c r="X52" s="29">
        <f t="shared" si="34"/>
        <v>88.69</v>
      </c>
      <c r="Y52" s="29">
        <f t="shared" si="34"/>
        <v>88.69</v>
      </c>
      <c r="Z52" s="29">
        <f t="shared" si="34"/>
        <v>88.69</v>
      </c>
      <c r="AA52" s="29">
        <f>TRUNC((($J$52*2*15)-(AA24*6%)),2)</f>
        <v>41.99</v>
      </c>
      <c r="AB52" s="29">
        <f>TRUNC((($J$52*2*15)-(AB24*6%)),2)</f>
        <v>41.99</v>
      </c>
      <c r="AC52" s="29">
        <f>TRUNC((($J$52*2*21)-(AC24*6%)),2)</f>
        <v>86.39</v>
      </c>
      <c r="AD52" s="162"/>
      <c r="AE52" s="162"/>
      <c r="AF52" s="162"/>
      <c r="AG52" s="162"/>
    </row>
    <row r="53" spans="2:33" ht="15.4" customHeight="1">
      <c r="B53" s="15"/>
      <c r="C53" s="155" t="s">
        <v>23</v>
      </c>
      <c r="D53" s="204" t="s">
        <v>267</v>
      </c>
      <c r="E53" s="204"/>
      <c r="F53" s="204"/>
      <c r="G53" s="204"/>
      <c r="H53" s="204"/>
      <c r="I53" s="54" t="s">
        <v>52</v>
      </c>
      <c r="J53" s="153">
        <v>19</v>
      </c>
      <c r="K53" s="29">
        <f>TRUNC($J$53*21,2)</f>
        <v>399</v>
      </c>
      <c r="L53" s="29">
        <f>TRUNC($J$53*15,2)</f>
        <v>285</v>
      </c>
      <c r="M53" s="29">
        <f>TRUNC($J$53*21,2)</f>
        <v>399</v>
      </c>
      <c r="N53" s="29">
        <f>TRUNC($J$53*15,2)</f>
        <v>285</v>
      </c>
      <c r="O53" s="29">
        <f>TRUNC($J$53*15,2)</f>
        <v>285</v>
      </c>
      <c r="P53" s="29">
        <f>TRUNC($J$53*21,2)</f>
        <v>399</v>
      </c>
      <c r="Q53" s="29">
        <f>TRUNC($J$53*15,2)</f>
        <v>285</v>
      </c>
      <c r="R53" s="29">
        <f>TRUNC($J$53*15,2)</f>
        <v>285</v>
      </c>
      <c r="S53" s="29">
        <f>TRUNC($J$53*26,2)</f>
        <v>494</v>
      </c>
      <c r="T53" s="29">
        <f>TRUNC($J$53*26,2)</f>
        <v>494</v>
      </c>
      <c r="U53" s="29">
        <f>TRUNC($J$53*26,2)</f>
        <v>494</v>
      </c>
      <c r="V53" s="65">
        <f>TRUNC($J$53*15,2)</f>
        <v>285</v>
      </c>
      <c r="W53" s="65">
        <f>TRUNC($J$53*15,2)</f>
        <v>285</v>
      </c>
      <c r="X53" s="65">
        <f>TRUNC($J$53*21,2)</f>
        <v>399</v>
      </c>
      <c r="Y53" s="65">
        <f>TRUNC($J$53*21,2)</f>
        <v>399</v>
      </c>
      <c r="Z53" s="65">
        <f>TRUNC($J$53*21,2)</f>
        <v>399</v>
      </c>
      <c r="AA53" s="65">
        <f>TRUNC($J$53*15,2)</f>
        <v>285</v>
      </c>
      <c r="AB53" s="65">
        <f>TRUNC($J$53*15,2)</f>
        <v>285</v>
      </c>
      <c r="AC53" s="72">
        <f>TRUNC($J$53*21,2)</f>
        <v>399</v>
      </c>
    </row>
    <row r="54" spans="2:33" ht="15.4" customHeight="1">
      <c r="B54" s="15"/>
      <c r="C54" s="155" t="s">
        <v>24</v>
      </c>
      <c r="D54" s="204" t="s">
        <v>53</v>
      </c>
      <c r="E54" s="204"/>
      <c r="F54" s="204"/>
      <c r="G54" s="204"/>
      <c r="H54" s="204"/>
      <c r="I54" s="204"/>
      <c r="J54" s="204"/>
      <c r="K54" s="29">
        <v>100</v>
      </c>
      <c r="L54" s="29">
        <v>100</v>
      </c>
      <c r="M54" s="29">
        <v>100</v>
      </c>
      <c r="N54" s="29">
        <v>100</v>
      </c>
      <c r="O54" s="29">
        <v>100</v>
      </c>
      <c r="P54" s="29">
        <v>100</v>
      </c>
      <c r="Q54" s="29">
        <v>100</v>
      </c>
      <c r="R54" s="29">
        <v>100</v>
      </c>
      <c r="S54" s="29">
        <v>100</v>
      </c>
      <c r="T54" s="65">
        <v>100</v>
      </c>
      <c r="U54" s="65">
        <v>100</v>
      </c>
      <c r="V54" s="65">
        <v>0</v>
      </c>
      <c r="W54" s="65">
        <v>0</v>
      </c>
      <c r="X54" s="65">
        <v>100</v>
      </c>
      <c r="Y54" s="65">
        <v>100</v>
      </c>
      <c r="Z54" s="65">
        <v>100</v>
      </c>
      <c r="AA54" s="65">
        <v>101</v>
      </c>
      <c r="AB54" s="65">
        <v>101</v>
      </c>
      <c r="AC54" s="72">
        <v>101</v>
      </c>
    </row>
    <row r="55" spans="2:33" ht="15.4" customHeight="1">
      <c r="B55" s="15"/>
      <c r="C55" s="155" t="s">
        <v>25</v>
      </c>
      <c r="D55" s="204" t="s">
        <v>54</v>
      </c>
      <c r="E55" s="204"/>
      <c r="F55" s="204"/>
      <c r="G55" s="204"/>
      <c r="H55" s="204"/>
      <c r="I55" s="204"/>
      <c r="J55" s="204"/>
      <c r="K55" s="29">
        <f t="shared" ref="K55:AC55" si="35">TRUNC(3.8%*(K$17),2)</f>
        <v>46.05</v>
      </c>
      <c r="L55" s="29">
        <f t="shared" si="35"/>
        <v>46.05</v>
      </c>
      <c r="M55" s="29">
        <f t="shared" si="35"/>
        <v>42.24</v>
      </c>
      <c r="N55" s="29">
        <f t="shared" si="35"/>
        <v>50.51</v>
      </c>
      <c r="O55" s="29">
        <f t="shared" si="35"/>
        <v>50.51</v>
      </c>
      <c r="P55" s="29">
        <f t="shared" si="35"/>
        <v>50.51</v>
      </c>
      <c r="Q55" s="29">
        <f t="shared" si="35"/>
        <v>50.51</v>
      </c>
      <c r="R55" s="29">
        <f t="shared" si="35"/>
        <v>50.51</v>
      </c>
      <c r="S55" s="29">
        <f t="shared" si="35"/>
        <v>45.08</v>
      </c>
      <c r="T55" s="65">
        <f t="shared" si="35"/>
        <v>45.08</v>
      </c>
      <c r="U55" s="65">
        <f t="shared" si="35"/>
        <v>45.08</v>
      </c>
      <c r="V55" s="65">
        <v>0</v>
      </c>
      <c r="W55" s="65">
        <v>0</v>
      </c>
      <c r="X55" s="65">
        <f t="shared" si="35"/>
        <v>42.24</v>
      </c>
      <c r="Y55" s="29">
        <f t="shared" si="35"/>
        <v>42.24</v>
      </c>
      <c r="Z55" s="29">
        <f t="shared" si="35"/>
        <v>42.24</v>
      </c>
      <c r="AA55" s="29">
        <f t="shared" si="35"/>
        <v>43.7</v>
      </c>
      <c r="AB55" s="29">
        <f t="shared" si="35"/>
        <v>43.7</v>
      </c>
      <c r="AC55" s="56">
        <f t="shared" si="35"/>
        <v>43.7</v>
      </c>
    </row>
    <row r="56" spans="2:33">
      <c r="B56" s="15"/>
      <c r="C56" s="155" t="s">
        <v>26</v>
      </c>
      <c r="D56" s="204" t="s">
        <v>55</v>
      </c>
      <c r="E56" s="204"/>
      <c r="F56" s="204"/>
      <c r="G56" s="204"/>
      <c r="H56" s="204"/>
      <c r="I56" s="204"/>
      <c r="J56" s="204"/>
      <c r="K56" s="29">
        <f>6.97+0.35</f>
        <v>7.3199999999999994</v>
      </c>
      <c r="L56" s="29">
        <f t="shared" ref="L56:AC56" si="36">6.97+0.35</f>
        <v>7.3199999999999994</v>
      </c>
      <c r="M56" s="29">
        <f t="shared" si="36"/>
        <v>7.3199999999999994</v>
      </c>
      <c r="N56" s="29">
        <f t="shared" si="36"/>
        <v>7.3199999999999994</v>
      </c>
      <c r="O56" s="29">
        <f t="shared" si="36"/>
        <v>7.3199999999999994</v>
      </c>
      <c r="P56" s="29">
        <f t="shared" si="36"/>
        <v>7.3199999999999994</v>
      </c>
      <c r="Q56" s="29">
        <f t="shared" si="36"/>
        <v>7.3199999999999994</v>
      </c>
      <c r="R56" s="29">
        <f t="shared" si="36"/>
        <v>7.3199999999999994</v>
      </c>
      <c r="S56" s="29">
        <f>6.97+0.35</f>
        <v>7.3199999999999994</v>
      </c>
      <c r="T56" s="29">
        <f t="shared" si="36"/>
        <v>7.3199999999999994</v>
      </c>
      <c r="U56" s="29">
        <f t="shared" si="36"/>
        <v>7.3199999999999994</v>
      </c>
      <c r="V56" s="65">
        <v>0</v>
      </c>
      <c r="W56" s="65">
        <v>0</v>
      </c>
      <c r="X56" s="29">
        <f t="shared" si="36"/>
        <v>7.3199999999999994</v>
      </c>
      <c r="Y56" s="29">
        <f t="shared" si="36"/>
        <v>7.3199999999999994</v>
      </c>
      <c r="Z56" s="29">
        <f t="shared" si="36"/>
        <v>7.3199999999999994</v>
      </c>
      <c r="AA56" s="29">
        <f t="shared" si="36"/>
        <v>7.3199999999999994</v>
      </c>
      <c r="AB56" s="29">
        <f t="shared" si="36"/>
        <v>7.3199999999999994</v>
      </c>
      <c r="AC56" s="56">
        <f t="shared" si="36"/>
        <v>7.3199999999999994</v>
      </c>
    </row>
    <row r="57" spans="2:33">
      <c r="B57" s="15"/>
      <c r="C57" s="155" t="s">
        <v>28</v>
      </c>
      <c r="D57" s="185" t="s">
        <v>56</v>
      </c>
      <c r="E57" s="185"/>
      <c r="F57" s="185"/>
      <c r="G57" s="185"/>
      <c r="H57" s="185"/>
      <c r="I57" s="185"/>
      <c r="J57" s="185"/>
      <c r="K57" s="65">
        <v>0</v>
      </c>
      <c r="L57" s="65"/>
      <c r="M57" s="65"/>
      <c r="N57" s="65">
        <v>0</v>
      </c>
      <c r="O57" s="65">
        <v>0</v>
      </c>
      <c r="P57" s="65">
        <v>0</v>
      </c>
      <c r="Q57" s="65">
        <v>0</v>
      </c>
      <c r="R57" s="65">
        <v>0</v>
      </c>
      <c r="S57" s="65">
        <v>0</v>
      </c>
      <c r="T57" s="65">
        <v>0</v>
      </c>
      <c r="U57" s="65">
        <v>0</v>
      </c>
      <c r="V57" s="65">
        <v>0</v>
      </c>
      <c r="W57" s="65">
        <v>0</v>
      </c>
      <c r="X57" s="65">
        <v>0</v>
      </c>
      <c r="Y57" s="65">
        <v>0</v>
      </c>
      <c r="Z57" s="65">
        <v>0</v>
      </c>
      <c r="AA57" s="65">
        <v>0</v>
      </c>
      <c r="AB57" s="65">
        <v>0</v>
      </c>
      <c r="AC57" s="72">
        <v>0</v>
      </c>
    </row>
    <row r="58" spans="2:33" s="40" customFormat="1" ht="16.5" customHeight="1">
      <c r="B58" s="16"/>
      <c r="C58" s="190" t="s">
        <v>57</v>
      </c>
      <c r="D58" s="191"/>
      <c r="E58" s="191"/>
      <c r="F58" s="191"/>
      <c r="G58" s="191"/>
      <c r="H58" s="191"/>
      <c r="I58" s="191"/>
      <c r="J58" s="191"/>
      <c r="K58" s="28">
        <f t="shared" ref="K58:Z58" si="37">SUM(K52:K57)</f>
        <v>635.04000000000008</v>
      </c>
      <c r="L58" s="28">
        <f t="shared" si="37"/>
        <v>476.64</v>
      </c>
      <c r="M58" s="28">
        <f t="shared" si="37"/>
        <v>637.25000000000011</v>
      </c>
      <c r="N58" s="28">
        <f t="shared" si="37"/>
        <v>474.07</v>
      </c>
      <c r="O58" s="28">
        <f t="shared" si="37"/>
        <v>474.07</v>
      </c>
      <c r="P58" s="28">
        <f t="shared" si="37"/>
        <v>632.47</v>
      </c>
      <c r="Q58" s="28">
        <f t="shared" si="37"/>
        <v>474.07</v>
      </c>
      <c r="R58" s="28">
        <f t="shared" si="37"/>
        <v>474.07</v>
      </c>
      <c r="S58" s="28">
        <f t="shared" si="37"/>
        <v>767.60000000000014</v>
      </c>
      <c r="T58" s="28">
        <f t="shared" si="37"/>
        <v>767.60000000000014</v>
      </c>
      <c r="U58" s="28">
        <f t="shared" si="37"/>
        <v>767.60000000000014</v>
      </c>
      <c r="V58" s="28">
        <f t="shared" si="37"/>
        <v>285</v>
      </c>
      <c r="W58" s="28">
        <f t="shared" si="37"/>
        <v>285</v>
      </c>
      <c r="X58" s="28">
        <f t="shared" si="37"/>
        <v>637.25000000000011</v>
      </c>
      <c r="Y58" s="28">
        <f t="shared" si="37"/>
        <v>637.25000000000011</v>
      </c>
      <c r="Z58" s="28">
        <f t="shared" si="37"/>
        <v>637.25000000000011</v>
      </c>
      <c r="AA58" s="28">
        <f t="shared" ref="AA58:AB58" si="38">SUM(AA52:AA57)</f>
        <v>479.01</v>
      </c>
      <c r="AB58" s="28">
        <f t="shared" si="38"/>
        <v>479.01</v>
      </c>
      <c r="AC58" s="60">
        <f t="shared" ref="AC58" si="39">SUM(AC52:AC57)</f>
        <v>637.41000000000008</v>
      </c>
    </row>
    <row r="59" spans="2:33" s="40" customFormat="1" ht="15.75" customHeight="1">
      <c r="B59" s="16"/>
      <c r="C59" s="190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2"/>
    </row>
    <row r="60" spans="2:33" ht="15.4" customHeight="1">
      <c r="B60" s="15"/>
      <c r="C60" s="190" t="s">
        <v>58</v>
      </c>
      <c r="D60" s="191"/>
      <c r="E60" s="191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2"/>
    </row>
    <row r="61" spans="2:33" ht="15.4" customHeight="1">
      <c r="B61" s="16"/>
      <c r="C61" s="190" t="s">
        <v>59</v>
      </c>
      <c r="D61" s="191"/>
      <c r="E61" s="191"/>
      <c r="F61" s="191"/>
      <c r="G61" s="191"/>
      <c r="H61" s="191"/>
      <c r="I61" s="191"/>
      <c r="J61" s="191"/>
      <c r="K61" s="160" t="s">
        <v>20</v>
      </c>
      <c r="L61" s="160"/>
      <c r="M61" s="160"/>
      <c r="N61" s="160" t="s">
        <v>20</v>
      </c>
      <c r="O61" s="160" t="s">
        <v>20</v>
      </c>
      <c r="P61" s="160" t="s">
        <v>20</v>
      </c>
      <c r="Q61" s="160" t="s">
        <v>20</v>
      </c>
      <c r="R61" s="160" t="s">
        <v>20</v>
      </c>
      <c r="S61" s="160" t="s">
        <v>20</v>
      </c>
      <c r="T61" s="160" t="s">
        <v>20</v>
      </c>
      <c r="U61" s="160" t="s">
        <v>20</v>
      </c>
      <c r="V61" s="160" t="s">
        <v>20</v>
      </c>
      <c r="W61" s="160" t="s">
        <v>20</v>
      </c>
      <c r="X61" s="160" t="s">
        <v>20</v>
      </c>
      <c r="Y61" s="160" t="s">
        <v>20</v>
      </c>
      <c r="Z61" s="160" t="s">
        <v>20</v>
      </c>
      <c r="AA61" s="160" t="s">
        <v>20</v>
      </c>
      <c r="AB61" s="160" t="s">
        <v>20</v>
      </c>
      <c r="AC61" s="61" t="s">
        <v>20</v>
      </c>
    </row>
    <row r="62" spans="2:33" ht="15.4" customHeight="1">
      <c r="B62" s="15"/>
      <c r="C62" s="159" t="s">
        <v>60</v>
      </c>
      <c r="D62" s="197" t="s">
        <v>33</v>
      </c>
      <c r="E62" s="197"/>
      <c r="F62" s="197"/>
      <c r="G62" s="197"/>
      <c r="H62" s="197"/>
      <c r="I62" s="197"/>
      <c r="J62" s="197"/>
      <c r="K62" s="29">
        <f>K36</f>
        <v>247.65</v>
      </c>
      <c r="L62" s="29">
        <f>L36</f>
        <v>247.65</v>
      </c>
      <c r="M62" s="29">
        <f t="shared" ref="M62" si="40">M36</f>
        <v>227.16000000000003</v>
      </c>
      <c r="N62" s="29">
        <f>N36</f>
        <v>271.59000000000003</v>
      </c>
      <c r="O62" s="29">
        <f>O36</f>
        <v>319.74</v>
      </c>
      <c r="P62" s="29">
        <f t="shared" ref="P62:V62" si="41">P36</f>
        <v>271.59000000000003</v>
      </c>
      <c r="Q62" s="29">
        <f t="shared" si="41"/>
        <v>271.59000000000003</v>
      </c>
      <c r="R62" s="29">
        <f t="shared" si="41"/>
        <v>319.74</v>
      </c>
      <c r="S62" s="29">
        <f t="shared" si="41"/>
        <v>242.44</v>
      </c>
      <c r="T62" s="29">
        <f>T36</f>
        <v>262.49</v>
      </c>
      <c r="U62" s="29">
        <f>U36</f>
        <v>296.89</v>
      </c>
      <c r="V62" s="29">
        <f t="shared" si="41"/>
        <v>447.07000000000005</v>
      </c>
      <c r="W62" s="29">
        <f t="shared" ref="W62:AB62" si="42">W36</f>
        <v>526.33000000000004</v>
      </c>
      <c r="X62" s="29">
        <f t="shared" si="42"/>
        <v>227.16000000000003</v>
      </c>
      <c r="Y62" s="29">
        <f t="shared" si="42"/>
        <v>227.16000000000003</v>
      </c>
      <c r="Z62" s="29">
        <f t="shared" si="42"/>
        <v>227.16000000000003</v>
      </c>
      <c r="AA62" s="29">
        <f t="shared" si="42"/>
        <v>235</v>
      </c>
      <c r="AB62" s="29">
        <f t="shared" si="42"/>
        <v>276.66000000000003</v>
      </c>
      <c r="AC62" s="56">
        <f t="shared" ref="AC62" si="43">AC36</f>
        <v>235</v>
      </c>
    </row>
    <row r="63" spans="2:33" ht="15.4" customHeight="1">
      <c r="B63" s="15"/>
      <c r="C63" s="159" t="s">
        <v>61</v>
      </c>
      <c r="D63" s="197" t="s">
        <v>38</v>
      </c>
      <c r="E63" s="197"/>
      <c r="F63" s="197"/>
      <c r="G63" s="197"/>
      <c r="H63" s="197"/>
      <c r="I63" s="197"/>
      <c r="J63" s="197"/>
      <c r="K63" s="29">
        <f>K48</f>
        <v>580.91</v>
      </c>
      <c r="L63" s="29">
        <f>L48</f>
        <v>580.91</v>
      </c>
      <c r="M63" s="29">
        <f t="shared" ref="M63:V63" si="44">M48</f>
        <v>532.84999999999991</v>
      </c>
      <c r="N63" s="29">
        <f>N48</f>
        <v>637.09</v>
      </c>
      <c r="O63" s="29">
        <f>O48</f>
        <v>750.01</v>
      </c>
      <c r="P63" s="29">
        <f t="shared" si="44"/>
        <v>637.09</v>
      </c>
      <c r="Q63" s="29">
        <f t="shared" si="44"/>
        <v>637.09</v>
      </c>
      <c r="R63" s="29">
        <f t="shared" si="44"/>
        <v>750.01</v>
      </c>
      <c r="S63" s="29">
        <f t="shared" si="44"/>
        <v>568.68000000000006</v>
      </c>
      <c r="T63" s="29">
        <f>T48</f>
        <v>615.74</v>
      </c>
      <c r="U63" s="29">
        <f>U48</f>
        <v>696.3900000000001</v>
      </c>
      <c r="V63" s="29">
        <f t="shared" si="44"/>
        <v>1048.73</v>
      </c>
      <c r="W63" s="29">
        <f t="shared" ref="W63:AB63" si="45">W48</f>
        <v>1234.6500000000001</v>
      </c>
      <c r="X63" s="29">
        <f t="shared" si="45"/>
        <v>532.84999999999991</v>
      </c>
      <c r="Y63" s="29">
        <f t="shared" si="45"/>
        <v>532.84999999999991</v>
      </c>
      <c r="Z63" s="29">
        <f t="shared" si="45"/>
        <v>532.84999999999991</v>
      </c>
      <c r="AA63" s="29">
        <f t="shared" si="45"/>
        <v>551.25</v>
      </c>
      <c r="AB63" s="29">
        <f t="shared" si="45"/>
        <v>648.98</v>
      </c>
      <c r="AC63" s="56">
        <f t="shared" ref="AC63" si="46">AC48</f>
        <v>551.25</v>
      </c>
    </row>
    <row r="64" spans="2:33" ht="15.4" customHeight="1">
      <c r="B64" s="15"/>
      <c r="C64" s="159" t="s">
        <v>62</v>
      </c>
      <c r="D64" s="197" t="s">
        <v>51</v>
      </c>
      <c r="E64" s="197"/>
      <c r="F64" s="197"/>
      <c r="G64" s="197"/>
      <c r="H64" s="197"/>
      <c r="I64" s="197"/>
      <c r="J64" s="197"/>
      <c r="K64" s="29">
        <f>K58</f>
        <v>635.04000000000008</v>
      </c>
      <c r="L64" s="29">
        <f>L58</f>
        <v>476.64</v>
      </c>
      <c r="M64" s="29">
        <f t="shared" ref="M64:V64" si="47">M58</f>
        <v>637.25000000000011</v>
      </c>
      <c r="N64" s="29">
        <f>N58</f>
        <v>474.07</v>
      </c>
      <c r="O64" s="29">
        <f>O58</f>
        <v>474.07</v>
      </c>
      <c r="P64" s="29">
        <f t="shared" si="47"/>
        <v>632.47</v>
      </c>
      <c r="Q64" s="29">
        <f t="shared" si="47"/>
        <v>474.07</v>
      </c>
      <c r="R64" s="29">
        <f t="shared" si="47"/>
        <v>474.07</v>
      </c>
      <c r="S64" s="29">
        <f t="shared" si="47"/>
        <v>767.60000000000014</v>
      </c>
      <c r="T64" s="29">
        <f>T58</f>
        <v>767.60000000000014</v>
      </c>
      <c r="U64" s="29">
        <f>U58</f>
        <v>767.60000000000014</v>
      </c>
      <c r="V64" s="29">
        <f t="shared" si="47"/>
        <v>285</v>
      </c>
      <c r="W64" s="29">
        <f t="shared" ref="W64:AB64" si="48">W58</f>
        <v>285</v>
      </c>
      <c r="X64" s="29">
        <f t="shared" si="48"/>
        <v>637.25000000000011</v>
      </c>
      <c r="Y64" s="29">
        <f t="shared" si="48"/>
        <v>637.25000000000011</v>
      </c>
      <c r="Z64" s="29">
        <f t="shared" si="48"/>
        <v>637.25000000000011</v>
      </c>
      <c r="AA64" s="29">
        <f t="shared" si="48"/>
        <v>479.01</v>
      </c>
      <c r="AB64" s="29">
        <f t="shared" si="48"/>
        <v>479.01</v>
      </c>
      <c r="AC64" s="56">
        <f t="shared" ref="AC64" si="49">AC58</f>
        <v>637.41000000000008</v>
      </c>
    </row>
    <row r="65" spans="2:29" ht="15.4" customHeight="1">
      <c r="B65" s="15"/>
      <c r="C65" s="190" t="s">
        <v>63</v>
      </c>
      <c r="D65" s="191"/>
      <c r="E65" s="191"/>
      <c r="F65" s="191"/>
      <c r="G65" s="191"/>
      <c r="H65" s="191"/>
      <c r="I65" s="191"/>
      <c r="J65" s="191"/>
      <c r="K65" s="28">
        <f t="shared" ref="K65:L65" si="50">SUM(K62:K64)</f>
        <v>1463.6</v>
      </c>
      <c r="L65" s="28">
        <f t="shared" si="50"/>
        <v>1305.1999999999998</v>
      </c>
      <c r="M65" s="28">
        <f t="shared" ref="M65:Z65" si="51">SUM(M62:M64)</f>
        <v>1397.2600000000002</v>
      </c>
      <c r="N65" s="28">
        <f t="shared" si="51"/>
        <v>1382.75</v>
      </c>
      <c r="O65" s="28">
        <f t="shared" si="51"/>
        <v>1543.82</v>
      </c>
      <c r="P65" s="28">
        <f t="shared" si="51"/>
        <v>1541.15</v>
      </c>
      <c r="Q65" s="28">
        <f t="shared" si="51"/>
        <v>1382.75</v>
      </c>
      <c r="R65" s="28">
        <f t="shared" si="51"/>
        <v>1543.82</v>
      </c>
      <c r="S65" s="28">
        <f t="shared" si="51"/>
        <v>1578.7200000000003</v>
      </c>
      <c r="T65" s="28">
        <f t="shared" si="51"/>
        <v>1645.8300000000002</v>
      </c>
      <c r="U65" s="28">
        <f t="shared" si="51"/>
        <v>1760.88</v>
      </c>
      <c r="V65" s="28">
        <f t="shared" si="51"/>
        <v>1780.8000000000002</v>
      </c>
      <c r="W65" s="28">
        <f t="shared" si="51"/>
        <v>2045.98</v>
      </c>
      <c r="X65" s="28">
        <f t="shared" si="51"/>
        <v>1397.2600000000002</v>
      </c>
      <c r="Y65" s="28">
        <f t="shared" si="51"/>
        <v>1397.2600000000002</v>
      </c>
      <c r="Z65" s="28">
        <f t="shared" si="51"/>
        <v>1397.2600000000002</v>
      </c>
      <c r="AA65" s="28">
        <f t="shared" ref="AA65:AB65" si="52">SUM(AA62:AA64)</f>
        <v>1265.26</v>
      </c>
      <c r="AB65" s="28">
        <f t="shared" si="52"/>
        <v>1404.65</v>
      </c>
      <c r="AC65" s="60">
        <f t="shared" ref="AC65" si="53">SUM(AC62:AC64)</f>
        <v>1423.66</v>
      </c>
    </row>
    <row r="66" spans="2:29" ht="15.4" customHeight="1">
      <c r="B66" s="15"/>
      <c r="C66" s="155"/>
      <c r="D66" s="156"/>
      <c r="E66" s="156"/>
      <c r="F66" s="156"/>
      <c r="G66" s="156"/>
      <c r="H66" s="156"/>
      <c r="I66" s="156"/>
      <c r="J66" s="156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47"/>
    </row>
    <row r="67" spans="2:29" ht="15.4" customHeight="1">
      <c r="B67" s="15"/>
      <c r="C67" s="175" t="s">
        <v>64</v>
      </c>
      <c r="D67" s="176"/>
      <c r="E67" s="176"/>
      <c r="F67" s="176"/>
      <c r="G67" s="176"/>
      <c r="H67" s="176"/>
      <c r="I67" s="176"/>
      <c r="J67" s="176"/>
      <c r="K67" s="176"/>
      <c r="L67" s="176"/>
      <c r="M67" s="176"/>
      <c r="N67" s="176"/>
      <c r="O67" s="176"/>
      <c r="P67" s="176"/>
      <c r="Q67" s="176"/>
      <c r="R67" s="176"/>
      <c r="S67" s="176"/>
      <c r="T67" s="176"/>
      <c r="U67" s="176"/>
      <c r="V67" s="176"/>
      <c r="W67" s="176"/>
      <c r="X67" s="176"/>
      <c r="Y67" s="176"/>
      <c r="Z67" s="176"/>
      <c r="AA67" s="176"/>
      <c r="AB67" s="176"/>
      <c r="AC67" s="177"/>
    </row>
    <row r="68" spans="2:29" ht="24.95" customHeight="1">
      <c r="B68" s="15"/>
      <c r="C68" s="183" t="s">
        <v>65</v>
      </c>
      <c r="D68" s="184"/>
      <c r="E68" s="184"/>
      <c r="F68" s="184"/>
      <c r="G68" s="184"/>
      <c r="H68" s="184"/>
      <c r="I68" s="184"/>
      <c r="J68" s="156" t="s">
        <v>19</v>
      </c>
      <c r="K68" s="156" t="s">
        <v>20</v>
      </c>
      <c r="L68" s="156"/>
      <c r="M68" s="156"/>
      <c r="N68" s="156" t="s">
        <v>20</v>
      </c>
      <c r="O68" s="156" t="s">
        <v>20</v>
      </c>
      <c r="P68" s="156" t="s">
        <v>20</v>
      </c>
      <c r="Q68" s="156" t="s">
        <v>20</v>
      </c>
      <c r="R68" s="156" t="s">
        <v>20</v>
      </c>
      <c r="S68" s="156" t="s">
        <v>20</v>
      </c>
      <c r="T68" s="156" t="s">
        <v>20</v>
      </c>
      <c r="U68" s="156" t="s">
        <v>20</v>
      </c>
      <c r="V68" s="156" t="s">
        <v>20</v>
      </c>
      <c r="W68" s="156" t="s">
        <v>20</v>
      </c>
      <c r="X68" s="156" t="s">
        <v>20</v>
      </c>
      <c r="Y68" s="156" t="s">
        <v>20</v>
      </c>
      <c r="Z68" s="156" t="s">
        <v>20</v>
      </c>
      <c r="AA68" s="156" t="s">
        <v>20</v>
      </c>
      <c r="AB68" s="156" t="s">
        <v>20</v>
      </c>
      <c r="AC68" s="104" t="s">
        <v>20</v>
      </c>
    </row>
    <row r="69" spans="2:29" ht="15.4" customHeight="1">
      <c r="B69" s="15"/>
      <c r="C69" s="155" t="s">
        <v>21</v>
      </c>
      <c r="D69" s="185" t="s">
        <v>66</v>
      </c>
      <c r="E69" s="185"/>
      <c r="F69" s="185"/>
      <c r="G69" s="185"/>
      <c r="H69" s="185"/>
      <c r="I69" s="185"/>
      <c r="J69" s="20">
        <f>(1/12)*0.05</f>
        <v>4.1666666666666666E-3</v>
      </c>
      <c r="K69" s="29">
        <f>TRUNC(K$29*$J$69,2)</f>
        <v>5.05</v>
      </c>
      <c r="L69" s="29">
        <f t="shared" ref="L69:M69" si="54">TRUNC(L$29*$J$69,2)</f>
        <v>5.05</v>
      </c>
      <c r="M69" s="29">
        <f t="shared" si="54"/>
        <v>4.63</v>
      </c>
      <c r="N69" s="29">
        <f>TRUNC(N$29*$J$69,2)</f>
        <v>5.53</v>
      </c>
      <c r="O69" s="29">
        <f>TRUNC(O$29*$J$69,2)</f>
        <v>6.52</v>
      </c>
      <c r="P69" s="29">
        <f t="shared" ref="P69:AC69" si="55">TRUNC(P$29*$J$69,2)</f>
        <v>5.53</v>
      </c>
      <c r="Q69" s="29">
        <f t="shared" si="55"/>
        <v>5.53</v>
      </c>
      <c r="R69" s="29">
        <f t="shared" si="55"/>
        <v>6.52</v>
      </c>
      <c r="S69" s="29">
        <f t="shared" si="55"/>
        <v>4.9400000000000004</v>
      </c>
      <c r="T69" s="29">
        <f t="shared" si="55"/>
        <v>5.35</v>
      </c>
      <c r="U69" s="29">
        <f t="shared" si="55"/>
        <v>6.05</v>
      </c>
      <c r="V69" s="29">
        <f t="shared" si="55"/>
        <v>9.11</v>
      </c>
      <c r="W69" s="29">
        <f t="shared" si="55"/>
        <v>10.73</v>
      </c>
      <c r="X69" s="29">
        <f t="shared" si="55"/>
        <v>4.63</v>
      </c>
      <c r="Y69" s="29">
        <f t="shared" si="55"/>
        <v>4.63</v>
      </c>
      <c r="Z69" s="29">
        <f t="shared" si="55"/>
        <v>4.63</v>
      </c>
      <c r="AA69" s="29">
        <f t="shared" si="55"/>
        <v>4.79</v>
      </c>
      <c r="AB69" s="29">
        <f t="shared" si="55"/>
        <v>5.64</v>
      </c>
      <c r="AC69" s="56">
        <f t="shared" si="55"/>
        <v>4.79</v>
      </c>
    </row>
    <row r="70" spans="2:29" ht="15.4" customHeight="1">
      <c r="B70" s="15"/>
      <c r="C70" s="155" t="s">
        <v>23</v>
      </c>
      <c r="D70" s="185" t="s">
        <v>67</v>
      </c>
      <c r="E70" s="185"/>
      <c r="F70" s="185"/>
      <c r="G70" s="185"/>
      <c r="H70" s="185"/>
      <c r="I70" s="185"/>
      <c r="J70" s="20">
        <f>J69*J47</f>
        <v>3.3333333333333332E-4</v>
      </c>
      <c r="K70" s="29">
        <f>TRUNC($J$47*K69,2)</f>
        <v>0.4</v>
      </c>
      <c r="L70" s="29">
        <f t="shared" ref="L70:M70" si="56">TRUNC($J$47*L69,2)</f>
        <v>0.4</v>
      </c>
      <c r="M70" s="29">
        <f t="shared" si="56"/>
        <v>0.37</v>
      </c>
      <c r="N70" s="29">
        <f>TRUNC($J$47*N69,2)</f>
        <v>0.44</v>
      </c>
      <c r="O70" s="29">
        <f>TRUNC($J$47*O69,2)</f>
        <v>0.52</v>
      </c>
      <c r="P70" s="29">
        <f t="shared" ref="P70:V70" si="57">TRUNC($J$47*P69,2)</f>
        <v>0.44</v>
      </c>
      <c r="Q70" s="29">
        <f t="shared" si="57"/>
        <v>0.44</v>
      </c>
      <c r="R70" s="29">
        <f t="shared" si="57"/>
        <v>0.52</v>
      </c>
      <c r="S70" s="29">
        <f t="shared" si="57"/>
        <v>0.39</v>
      </c>
      <c r="T70" s="29">
        <f>TRUNC($J$47*T69,2)</f>
        <v>0.42</v>
      </c>
      <c r="U70" s="29">
        <f>TRUNC($J$47*U69,2)</f>
        <v>0.48</v>
      </c>
      <c r="V70" s="29">
        <f t="shared" si="57"/>
        <v>0.72</v>
      </c>
      <c r="W70" s="29">
        <f t="shared" ref="W70:AB70" si="58">TRUNC($J$47*W69,2)</f>
        <v>0.85</v>
      </c>
      <c r="X70" s="29">
        <f t="shared" si="58"/>
        <v>0.37</v>
      </c>
      <c r="Y70" s="29">
        <f t="shared" si="58"/>
        <v>0.37</v>
      </c>
      <c r="Z70" s="29">
        <f t="shared" si="58"/>
        <v>0.37</v>
      </c>
      <c r="AA70" s="29">
        <f t="shared" si="58"/>
        <v>0.38</v>
      </c>
      <c r="AB70" s="29">
        <f t="shared" si="58"/>
        <v>0.45</v>
      </c>
      <c r="AC70" s="56">
        <f t="shared" ref="AC70" si="59">TRUNC($J$47*AC69,2)</f>
        <v>0.38</v>
      </c>
    </row>
    <row r="71" spans="2:29" ht="15.4" customHeight="1">
      <c r="B71" s="15"/>
      <c r="C71" s="155" t="s">
        <v>24</v>
      </c>
      <c r="D71" s="185" t="s">
        <v>68</v>
      </c>
      <c r="E71" s="185"/>
      <c r="F71" s="185"/>
      <c r="G71" s="185"/>
      <c r="H71" s="185"/>
      <c r="I71" s="185"/>
      <c r="J71" s="20">
        <f>((7/30)/12)*1</f>
        <v>1.9444444444444445E-2</v>
      </c>
      <c r="K71" s="29">
        <f>TRUNC(K$29*$J$71,2)</f>
        <v>23.56</v>
      </c>
      <c r="L71" s="29">
        <f t="shared" ref="L71:M71" si="60">TRUNC(L$29*$J$71,2)</f>
        <v>23.56</v>
      </c>
      <c r="M71" s="29">
        <f t="shared" si="60"/>
        <v>21.61</v>
      </c>
      <c r="N71" s="29">
        <f>TRUNC(N$29*$J$71,2)</f>
        <v>25.84</v>
      </c>
      <c r="O71" s="29">
        <f>TRUNC(O$29*$J$71,2)</f>
        <v>30.42</v>
      </c>
      <c r="P71" s="29">
        <f t="shared" ref="P71:AC71" si="61">TRUNC(P$29*$J$71,2)</f>
        <v>25.84</v>
      </c>
      <c r="Q71" s="29">
        <f t="shared" si="61"/>
        <v>25.84</v>
      </c>
      <c r="R71" s="29">
        <f t="shared" si="61"/>
        <v>30.42</v>
      </c>
      <c r="S71" s="29">
        <f t="shared" si="61"/>
        <v>23.07</v>
      </c>
      <c r="T71" s="29">
        <f t="shared" si="61"/>
        <v>24.98</v>
      </c>
      <c r="U71" s="29">
        <f t="shared" si="61"/>
        <v>28.25</v>
      </c>
      <c r="V71" s="29">
        <f t="shared" si="61"/>
        <v>42.54</v>
      </c>
      <c r="W71" s="29">
        <f t="shared" si="61"/>
        <v>50.08</v>
      </c>
      <c r="X71" s="29">
        <f t="shared" si="61"/>
        <v>21.61</v>
      </c>
      <c r="Y71" s="29">
        <f t="shared" si="61"/>
        <v>21.61</v>
      </c>
      <c r="Z71" s="29">
        <f t="shared" si="61"/>
        <v>21.61</v>
      </c>
      <c r="AA71" s="29">
        <f t="shared" si="61"/>
        <v>22.36</v>
      </c>
      <c r="AB71" s="29">
        <f t="shared" si="61"/>
        <v>26.32</v>
      </c>
      <c r="AC71" s="56">
        <f t="shared" si="61"/>
        <v>22.36</v>
      </c>
    </row>
    <row r="72" spans="2:29" ht="15.4" customHeight="1">
      <c r="B72" s="15"/>
      <c r="C72" s="155" t="s">
        <v>25</v>
      </c>
      <c r="D72" s="185" t="s">
        <v>69</v>
      </c>
      <c r="E72" s="185"/>
      <c r="F72" s="185"/>
      <c r="G72" s="185"/>
      <c r="H72" s="185"/>
      <c r="I72" s="185"/>
      <c r="J72" s="20">
        <f>J71*J48</f>
        <v>7.7388888888888906E-3</v>
      </c>
      <c r="K72" s="29">
        <f t="shared" ref="K72:AC72" si="62">TRUNC($J$48*K$71,2)</f>
        <v>9.3699999999999992</v>
      </c>
      <c r="L72" s="29">
        <f t="shared" si="62"/>
        <v>9.3699999999999992</v>
      </c>
      <c r="M72" s="29">
        <f t="shared" si="62"/>
        <v>8.6</v>
      </c>
      <c r="N72" s="29">
        <f t="shared" si="62"/>
        <v>10.28</v>
      </c>
      <c r="O72" s="29">
        <f t="shared" si="62"/>
        <v>12.1</v>
      </c>
      <c r="P72" s="29">
        <f t="shared" si="62"/>
        <v>10.28</v>
      </c>
      <c r="Q72" s="29">
        <f t="shared" si="62"/>
        <v>10.28</v>
      </c>
      <c r="R72" s="29">
        <f t="shared" si="62"/>
        <v>12.1</v>
      </c>
      <c r="S72" s="29">
        <f t="shared" si="62"/>
        <v>9.18</v>
      </c>
      <c r="T72" s="29">
        <f t="shared" si="62"/>
        <v>9.94</v>
      </c>
      <c r="U72" s="29">
        <f t="shared" si="62"/>
        <v>11.24</v>
      </c>
      <c r="V72" s="29">
        <f t="shared" si="62"/>
        <v>16.93</v>
      </c>
      <c r="W72" s="29">
        <f t="shared" si="62"/>
        <v>19.93</v>
      </c>
      <c r="X72" s="29">
        <f t="shared" si="62"/>
        <v>8.6</v>
      </c>
      <c r="Y72" s="29">
        <f t="shared" si="62"/>
        <v>8.6</v>
      </c>
      <c r="Z72" s="29">
        <f t="shared" si="62"/>
        <v>8.6</v>
      </c>
      <c r="AA72" s="29">
        <f t="shared" si="62"/>
        <v>8.89</v>
      </c>
      <c r="AB72" s="29">
        <f t="shared" si="62"/>
        <v>10.47</v>
      </c>
      <c r="AC72" s="56">
        <f t="shared" si="62"/>
        <v>8.89</v>
      </c>
    </row>
    <row r="73" spans="2:29" ht="15.4" customHeight="1">
      <c r="B73" s="15"/>
      <c r="C73" s="155" t="s">
        <v>26</v>
      </c>
      <c r="D73" s="185" t="s">
        <v>70</v>
      </c>
      <c r="E73" s="185"/>
      <c r="F73" s="185"/>
      <c r="G73" s="185"/>
      <c r="H73" s="185"/>
      <c r="I73" s="185"/>
      <c r="J73" s="3">
        <v>0.04</v>
      </c>
      <c r="K73" s="29">
        <f t="shared" ref="K73:AC73" si="63">TRUNC($J$73*K$29,2)</f>
        <v>48.48</v>
      </c>
      <c r="L73" s="29">
        <f t="shared" si="63"/>
        <v>48.48</v>
      </c>
      <c r="M73" s="29">
        <f t="shared" si="63"/>
        <v>44.47</v>
      </c>
      <c r="N73" s="29">
        <f t="shared" si="63"/>
        <v>53.16</v>
      </c>
      <c r="O73" s="29">
        <f t="shared" si="63"/>
        <v>62.59</v>
      </c>
      <c r="P73" s="29">
        <f t="shared" si="63"/>
        <v>53.16</v>
      </c>
      <c r="Q73" s="29">
        <f t="shared" si="63"/>
        <v>53.16</v>
      </c>
      <c r="R73" s="29">
        <f t="shared" si="63"/>
        <v>62.59</v>
      </c>
      <c r="S73" s="29">
        <f t="shared" si="63"/>
        <v>47.46</v>
      </c>
      <c r="T73" s="29">
        <f t="shared" si="63"/>
        <v>51.38</v>
      </c>
      <c r="U73" s="29">
        <f t="shared" si="63"/>
        <v>58.11</v>
      </c>
      <c r="V73" s="29">
        <f t="shared" si="63"/>
        <v>87.52</v>
      </c>
      <c r="W73" s="29">
        <f t="shared" si="63"/>
        <v>103.03</v>
      </c>
      <c r="X73" s="29">
        <f t="shared" si="63"/>
        <v>44.47</v>
      </c>
      <c r="Y73" s="29">
        <f t="shared" si="63"/>
        <v>44.47</v>
      </c>
      <c r="Z73" s="29">
        <f t="shared" si="63"/>
        <v>44.47</v>
      </c>
      <c r="AA73" s="29">
        <f t="shared" si="63"/>
        <v>46</v>
      </c>
      <c r="AB73" s="29">
        <f t="shared" si="63"/>
        <v>54.16</v>
      </c>
      <c r="AC73" s="56">
        <f t="shared" si="63"/>
        <v>46</v>
      </c>
    </row>
    <row r="74" spans="2:29" ht="15.4" customHeight="1" thickBot="1">
      <c r="B74" s="15"/>
      <c r="C74" s="186" t="s">
        <v>71</v>
      </c>
      <c r="D74" s="187"/>
      <c r="E74" s="187"/>
      <c r="F74" s="187"/>
      <c r="G74" s="187"/>
      <c r="H74" s="187"/>
      <c r="I74" s="187"/>
      <c r="J74" s="35">
        <f t="shared" ref="J74:V74" si="64">SUM(J69:J73)</f>
        <v>7.1683333333333335E-2</v>
      </c>
      <c r="K74" s="33">
        <f t="shared" si="64"/>
        <v>86.859999999999985</v>
      </c>
      <c r="L74" s="33">
        <f t="shared" si="64"/>
        <v>86.859999999999985</v>
      </c>
      <c r="M74" s="33">
        <f t="shared" si="64"/>
        <v>79.680000000000007</v>
      </c>
      <c r="N74" s="33">
        <f>SUM(N69:N73)</f>
        <v>95.25</v>
      </c>
      <c r="O74" s="33">
        <f>SUM(O69:O73)</f>
        <v>112.15</v>
      </c>
      <c r="P74" s="33">
        <f t="shared" si="64"/>
        <v>95.25</v>
      </c>
      <c r="Q74" s="33">
        <f t="shared" si="64"/>
        <v>95.25</v>
      </c>
      <c r="R74" s="33">
        <f t="shared" si="64"/>
        <v>112.15</v>
      </c>
      <c r="S74" s="33">
        <f t="shared" si="64"/>
        <v>85.039999999999992</v>
      </c>
      <c r="T74" s="33">
        <f>SUM(T69:T73)</f>
        <v>92.07</v>
      </c>
      <c r="U74" s="33">
        <f>SUM(U69:U73)</f>
        <v>104.13</v>
      </c>
      <c r="V74" s="33">
        <f t="shared" si="64"/>
        <v>156.82</v>
      </c>
      <c r="W74" s="33">
        <f t="shared" ref="W74:AB74" si="65">SUM(W69:W73)</f>
        <v>184.62</v>
      </c>
      <c r="X74" s="33">
        <f t="shared" si="65"/>
        <v>79.680000000000007</v>
      </c>
      <c r="Y74" s="33">
        <f t="shared" si="65"/>
        <v>79.680000000000007</v>
      </c>
      <c r="Z74" s="33">
        <f t="shared" si="65"/>
        <v>79.680000000000007</v>
      </c>
      <c r="AA74" s="33">
        <f t="shared" si="65"/>
        <v>82.42</v>
      </c>
      <c r="AB74" s="33">
        <f t="shared" si="65"/>
        <v>97.039999999999992</v>
      </c>
      <c r="AC74" s="57">
        <f t="shared" ref="AC74" si="66">SUM(AC69:AC73)</f>
        <v>82.42</v>
      </c>
    </row>
    <row r="75" spans="2:29" ht="15.4" customHeight="1" thickTop="1" thickBot="1">
      <c r="B75" s="16"/>
      <c r="C75" s="196"/>
      <c r="D75" s="196"/>
      <c r="E75" s="196"/>
      <c r="F75" s="196"/>
      <c r="G75" s="196"/>
      <c r="H75" s="196"/>
      <c r="I75" s="196"/>
      <c r="J75" s="196"/>
      <c r="K75" s="196"/>
      <c r="L75" s="196"/>
      <c r="M75" s="196"/>
      <c r="N75" s="196"/>
      <c r="O75" s="196"/>
      <c r="P75" s="196"/>
      <c r="Q75" s="196"/>
      <c r="R75" s="196"/>
      <c r="S75" s="196"/>
      <c r="T75" s="196"/>
      <c r="U75" s="196"/>
      <c r="V75" s="196"/>
      <c r="W75" s="196"/>
      <c r="X75" s="196"/>
      <c r="Y75" s="196"/>
    </row>
    <row r="76" spans="2:29" ht="33.75" customHeight="1" thickTop="1">
      <c r="B76" s="15"/>
      <c r="C76" s="169" t="s">
        <v>72</v>
      </c>
      <c r="D76" s="170"/>
      <c r="E76" s="170"/>
      <c r="F76" s="170"/>
      <c r="G76" s="170"/>
      <c r="H76" s="170"/>
      <c r="I76" s="170"/>
      <c r="J76" s="170"/>
      <c r="K76" s="170"/>
      <c r="L76" s="170"/>
      <c r="M76" s="170"/>
      <c r="N76" s="170"/>
      <c r="O76" s="170"/>
      <c r="P76" s="170"/>
      <c r="Q76" s="170"/>
      <c r="R76" s="170"/>
      <c r="S76" s="170"/>
      <c r="T76" s="170"/>
      <c r="U76" s="170"/>
      <c r="V76" s="170"/>
      <c r="W76" s="170"/>
      <c r="X76" s="170"/>
      <c r="Y76" s="170"/>
      <c r="Z76" s="170"/>
      <c r="AA76" s="170"/>
      <c r="AB76" s="170"/>
      <c r="AC76" s="171"/>
    </row>
    <row r="77" spans="2:29" ht="24.95" customHeight="1">
      <c r="B77" s="15"/>
      <c r="C77" s="183" t="s">
        <v>73</v>
      </c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4"/>
      <c r="S77" s="184"/>
      <c r="T77" s="184"/>
      <c r="U77" s="184"/>
      <c r="V77" s="184"/>
      <c r="W77" s="184"/>
      <c r="X77" s="184"/>
      <c r="Y77" s="184"/>
      <c r="Z77" s="184"/>
      <c r="AA77" s="184"/>
      <c r="AB77" s="184"/>
      <c r="AC77" s="189"/>
    </row>
    <row r="78" spans="2:29" ht="16.5" customHeight="1">
      <c r="B78" s="15"/>
      <c r="C78" s="183" t="s">
        <v>74</v>
      </c>
      <c r="D78" s="184"/>
      <c r="E78" s="184"/>
      <c r="F78" s="184"/>
      <c r="G78" s="184"/>
      <c r="H78" s="184"/>
      <c r="I78" s="184"/>
      <c r="J78" s="156" t="s">
        <v>19</v>
      </c>
      <c r="K78" s="156" t="s">
        <v>20</v>
      </c>
      <c r="L78" s="156"/>
      <c r="M78" s="156"/>
      <c r="N78" s="156" t="s">
        <v>20</v>
      </c>
      <c r="O78" s="156" t="s">
        <v>20</v>
      </c>
      <c r="P78" s="156" t="s">
        <v>20</v>
      </c>
      <c r="Q78" s="156" t="s">
        <v>20</v>
      </c>
      <c r="R78" s="156" t="s">
        <v>20</v>
      </c>
      <c r="S78" s="156" t="s">
        <v>20</v>
      </c>
      <c r="T78" s="156" t="s">
        <v>20</v>
      </c>
      <c r="U78" s="156" t="s">
        <v>20</v>
      </c>
      <c r="V78" s="156" t="s">
        <v>20</v>
      </c>
      <c r="W78" s="156" t="s">
        <v>20</v>
      </c>
      <c r="X78" s="156" t="s">
        <v>20</v>
      </c>
      <c r="Y78" s="156" t="s">
        <v>20</v>
      </c>
      <c r="Z78" s="156" t="s">
        <v>20</v>
      </c>
      <c r="AA78" s="156" t="s">
        <v>20</v>
      </c>
      <c r="AB78" s="156" t="s">
        <v>20</v>
      </c>
      <c r="AC78" s="104" t="s">
        <v>20</v>
      </c>
    </row>
    <row r="79" spans="2:29" ht="15.4" customHeight="1">
      <c r="B79" s="15"/>
      <c r="C79" s="155" t="s">
        <v>21</v>
      </c>
      <c r="D79" s="185" t="s">
        <v>75</v>
      </c>
      <c r="E79" s="185"/>
      <c r="F79" s="185"/>
      <c r="G79" s="185"/>
      <c r="H79" s="185"/>
      <c r="I79" s="185"/>
      <c r="J79" s="20">
        <f>(((1+1+1/3)/12)*1)/12</f>
        <v>1.6203703703703703E-2</v>
      </c>
      <c r="K79" s="29">
        <f t="shared" ref="K79:AC79" si="67">TRUNC($J$79*(K$29+K$48+K$74),2)</f>
        <v>30.45</v>
      </c>
      <c r="L79" s="29">
        <f t="shared" si="67"/>
        <v>30.45</v>
      </c>
      <c r="M79" s="29">
        <f t="shared" si="67"/>
        <v>27.94</v>
      </c>
      <c r="N79" s="29">
        <f t="shared" si="67"/>
        <v>33.4</v>
      </c>
      <c r="O79" s="29">
        <f t="shared" si="67"/>
        <v>39.32</v>
      </c>
      <c r="P79" s="29">
        <f t="shared" si="67"/>
        <v>33.4</v>
      </c>
      <c r="Q79" s="29">
        <f t="shared" si="67"/>
        <v>33.4</v>
      </c>
      <c r="R79" s="29">
        <f t="shared" si="67"/>
        <v>39.32</v>
      </c>
      <c r="S79" s="29">
        <f t="shared" si="67"/>
        <v>29.81</v>
      </c>
      <c r="T79" s="29">
        <f t="shared" si="67"/>
        <v>32.28</v>
      </c>
      <c r="U79" s="29">
        <f t="shared" si="67"/>
        <v>36.51</v>
      </c>
      <c r="V79" s="29">
        <f t="shared" si="67"/>
        <v>54.98</v>
      </c>
      <c r="W79" s="29">
        <f t="shared" si="67"/>
        <v>64.73</v>
      </c>
      <c r="X79" s="29">
        <f t="shared" si="67"/>
        <v>27.94</v>
      </c>
      <c r="Y79" s="29">
        <f t="shared" si="67"/>
        <v>27.94</v>
      </c>
      <c r="Z79" s="29">
        <f t="shared" si="67"/>
        <v>27.94</v>
      </c>
      <c r="AA79" s="29">
        <f t="shared" si="67"/>
        <v>28.9</v>
      </c>
      <c r="AB79" s="29">
        <f t="shared" si="67"/>
        <v>34.020000000000003</v>
      </c>
      <c r="AC79" s="56">
        <f t="shared" si="67"/>
        <v>28.9</v>
      </c>
    </row>
    <row r="80" spans="2:29" ht="15.4" customHeight="1">
      <c r="B80" s="15"/>
      <c r="C80" s="155" t="s">
        <v>23</v>
      </c>
      <c r="D80" s="185" t="s">
        <v>76</v>
      </c>
      <c r="E80" s="185"/>
      <c r="F80" s="185"/>
      <c r="G80" s="185"/>
      <c r="H80" s="185"/>
      <c r="I80" s="185"/>
      <c r="J80" s="20">
        <f>(2/30)*(1/12)</f>
        <v>5.5555555555555549E-3</v>
      </c>
      <c r="K80" s="29">
        <f>TRUNC($J$80*(K$29+K$65+K$74),2)</f>
        <v>15.34</v>
      </c>
      <c r="L80" s="29">
        <f t="shared" ref="L80:AC80" si="68">TRUNC($J$80*(L$29+L$65+L$74),2)</f>
        <v>14.46</v>
      </c>
      <c r="M80" s="29">
        <f t="shared" si="68"/>
        <v>14.38</v>
      </c>
      <c r="N80" s="29">
        <f t="shared" si="68"/>
        <v>15.59</v>
      </c>
      <c r="O80" s="29">
        <f t="shared" si="68"/>
        <v>17.89</v>
      </c>
      <c r="P80" s="29">
        <f t="shared" si="68"/>
        <v>16.47</v>
      </c>
      <c r="Q80" s="29">
        <f t="shared" si="68"/>
        <v>15.59</v>
      </c>
      <c r="R80" s="29">
        <f t="shared" si="68"/>
        <v>17.89</v>
      </c>
      <c r="S80" s="29">
        <f t="shared" si="68"/>
        <v>15.83</v>
      </c>
      <c r="T80" s="29">
        <f t="shared" si="68"/>
        <v>16.79</v>
      </c>
      <c r="U80" s="29">
        <f t="shared" si="68"/>
        <v>18.43</v>
      </c>
      <c r="V80" s="29">
        <f t="shared" si="68"/>
        <v>22.92</v>
      </c>
      <c r="W80" s="29">
        <f t="shared" si="68"/>
        <v>26.7</v>
      </c>
      <c r="X80" s="29">
        <f t="shared" si="68"/>
        <v>14.38</v>
      </c>
      <c r="Y80" s="29">
        <f t="shared" si="68"/>
        <v>14.38</v>
      </c>
      <c r="Z80" s="29">
        <f t="shared" si="68"/>
        <v>14.38</v>
      </c>
      <c r="AA80" s="29">
        <f t="shared" si="68"/>
        <v>13.87</v>
      </c>
      <c r="AB80" s="29">
        <f t="shared" si="68"/>
        <v>15.86</v>
      </c>
      <c r="AC80" s="56">
        <f t="shared" si="68"/>
        <v>14.75</v>
      </c>
    </row>
    <row r="81" spans="2:29" ht="15.4" customHeight="1">
      <c r="B81" s="15"/>
      <c r="C81" s="155" t="s">
        <v>24</v>
      </c>
      <c r="D81" s="185" t="s">
        <v>77</v>
      </c>
      <c r="E81" s="185"/>
      <c r="F81" s="185"/>
      <c r="G81" s="185"/>
      <c r="H81" s="185"/>
      <c r="I81" s="185"/>
      <c r="J81" s="20">
        <f>((5/30)/12)*2%</f>
        <v>2.7777777777777778E-4</v>
      </c>
      <c r="K81" s="29">
        <f t="shared" ref="K81:AC81" si="69">TRUNC($J$81*(K$29+K$65+K$74),2)</f>
        <v>0.76</v>
      </c>
      <c r="L81" s="29">
        <f t="shared" si="69"/>
        <v>0.72</v>
      </c>
      <c r="M81" s="29">
        <f t="shared" si="69"/>
        <v>0.71</v>
      </c>
      <c r="N81" s="29">
        <f t="shared" si="69"/>
        <v>0.77</v>
      </c>
      <c r="O81" s="29">
        <f t="shared" si="69"/>
        <v>0.89</v>
      </c>
      <c r="P81" s="29">
        <f t="shared" si="69"/>
        <v>0.82</v>
      </c>
      <c r="Q81" s="29">
        <f t="shared" si="69"/>
        <v>0.77</v>
      </c>
      <c r="R81" s="29">
        <f t="shared" si="69"/>
        <v>0.89</v>
      </c>
      <c r="S81" s="29">
        <f t="shared" si="69"/>
        <v>0.79</v>
      </c>
      <c r="T81" s="29">
        <f t="shared" si="69"/>
        <v>0.83</v>
      </c>
      <c r="U81" s="29">
        <f t="shared" si="69"/>
        <v>0.92</v>
      </c>
      <c r="V81" s="29">
        <f t="shared" si="69"/>
        <v>1.1399999999999999</v>
      </c>
      <c r="W81" s="29">
        <f t="shared" si="69"/>
        <v>1.33</v>
      </c>
      <c r="X81" s="29">
        <f t="shared" si="69"/>
        <v>0.71</v>
      </c>
      <c r="Y81" s="29">
        <f t="shared" si="69"/>
        <v>0.71</v>
      </c>
      <c r="Z81" s="29">
        <f t="shared" si="69"/>
        <v>0.71</v>
      </c>
      <c r="AA81" s="29">
        <f t="shared" si="69"/>
        <v>0.69</v>
      </c>
      <c r="AB81" s="29">
        <f t="shared" si="69"/>
        <v>0.79</v>
      </c>
      <c r="AC81" s="56">
        <f t="shared" si="69"/>
        <v>0.73</v>
      </c>
    </row>
    <row r="82" spans="2:29" ht="15.4" customHeight="1">
      <c r="B82" s="15"/>
      <c r="C82" s="155" t="s">
        <v>25</v>
      </c>
      <c r="D82" s="185" t="s">
        <v>78</v>
      </c>
      <c r="E82" s="185"/>
      <c r="F82" s="185"/>
      <c r="G82" s="185"/>
      <c r="H82" s="185"/>
      <c r="I82" s="185"/>
      <c r="J82" s="20">
        <f>((15/30)/12)*0.08*100%</f>
        <v>3.3333333333333331E-3</v>
      </c>
      <c r="K82" s="29">
        <f>TRUNC($J$82*(K$29+K$65+K$74),2)</f>
        <v>9.1999999999999993</v>
      </c>
      <c r="L82" s="29">
        <f t="shared" ref="L82:AC82" si="70">TRUNC($J$82*(L$29+L$65+L$74),2)</f>
        <v>8.68</v>
      </c>
      <c r="M82" s="29">
        <f t="shared" si="70"/>
        <v>8.6199999999999992</v>
      </c>
      <c r="N82" s="29">
        <f t="shared" si="70"/>
        <v>9.35</v>
      </c>
      <c r="O82" s="29">
        <f t="shared" si="70"/>
        <v>10.73</v>
      </c>
      <c r="P82" s="29">
        <f t="shared" si="70"/>
        <v>9.8800000000000008</v>
      </c>
      <c r="Q82" s="29">
        <f t="shared" si="70"/>
        <v>9.35</v>
      </c>
      <c r="R82" s="29">
        <f t="shared" si="70"/>
        <v>10.73</v>
      </c>
      <c r="S82" s="29">
        <f t="shared" si="70"/>
        <v>9.5</v>
      </c>
      <c r="T82" s="29">
        <f t="shared" si="70"/>
        <v>10.07</v>
      </c>
      <c r="U82" s="29">
        <f t="shared" si="70"/>
        <v>11.05</v>
      </c>
      <c r="V82" s="29">
        <f t="shared" si="70"/>
        <v>13.75</v>
      </c>
      <c r="W82" s="29">
        <f t="shared" si="70"/>
        <v>16.02</v>
      </c>
      <c r="X82" s="29">
        <f t="shared" si="70"/>
        <v>8.6199999999999992</v>
      </c>
      <c r="Y82" s="29">
        <f t="shared" si="70"/>
        <v>8.6199999999999992</v>
      </c>
      <c r="Z82" s="29">
        <f t="shared" si="70"/>
        <v>8.6199999999999992</v>
      </c>
      <c r="AA82" s="29">
        <f t="shared" si="70"/>
        <v>8.32</v>
      </c>
      <c r="AB82" s="29">
        <f t="shared" si="70"/>
        <v>9.51</v>
      </c>
      <c r="AC82" s="56">
        <f t="shared" si="70"/>
        <v>8.85</v>
      </c>
    </row>
    <row r="83" spans="2:29" ht="15.4" customHeight="1">
      <c r="B83" s="15"/>
      <c r="C83" s="155" t="s">
        <v>26</v>
      </c>
      <c r="D83" s="185" t="s">
        <v>79</v>
      </c>
      <c r="E83" s="185"/>
      <c r="F83" s="185"/>
      <c r="G83" s="185"/>
      <c r="H83" s="185"/>
      <c r="I83" s="185"/>
      <c r="J83" s="20">
        <f>((1+1/3)/12)*0.03*(4/12)*1</f>
        <v>1.1111111111111109E-3</v>
      </c>
      <c r="K83" s="29">
        <f t="shared" ref="K83:AC83" si="71">TRUNC($J$83*(K$29+K$65+K$74),2)</f>
        <v>3.06</v>
      </c>
      <c r="L83" s="29">
        <f t="shared" si="71"/>
        <v>2.89</v>
      </c>
      <c r="M83" s="29">
        <f t="shared" si="71"/>
        <v>2.87</v>
      </c>
      <c r="N83" s="29">
        <f t="shared" si="71"/>
        <v>3.11</v>
      </c>
      <c r="O83" s="29">
        <f t="shared" si="71"/>
        <v>3.57</v>
      </c>
      <c r="P83" s="29">
        <f t="shared" si="71"/>
        <v>3.29</v>
      </c>
      <c r="Q83" s="29">
        <f t="shared" si="71"/>
        <v>3.11</v>
      </c>
      <c r="R83" s="29">
        <f t="shared" si="71"/>
        <v>3.57</v>
      </c>
      <c r="S83" s="29">
        <f t="shared" si="71"/>
        <v>3.16</v>
      </c>
      <c r="T83" s="29">
        <f t="shared" si="71"/>
        <v>3.35</v>
      </c>
      <c r="U83" s="29">
        <f t="shared" si="71"/>
        <v>3.68</v>
      </c>
      <c r="V83" s="29">
        <f t="shared" si="71"/>
        <v>4.58</v>
      </c>
      <c r="W83" s="29">
        <f t="shared" si="71"/>
        <v>5.34</v>
      </c>
      <c r="X83" s="29">
        <f t="shared" si="71"/>
        <v>2.87</v>
      </c>
      <c r="Y83" s="29">
        <f t="shared" si="71"/>
        <v>2.87</v>
      </c>
      <c r="Z83" s="29">
        <f t="shared" si="71"/>
        <v>2.87</v>
      </c>
      <c r="AA83" s="29">
        <f t="shared" si="71"/>
        <v>2.77</v>
      </c>
      <c r="AB83" s="29">
        <f t="shared" si="71"/>
        <v>3.17</v>
      </c>
      <c r="AC83" s="56">
        <f t="shared" si="71"/>
        <v>2.95</v>
      </c>
    </row>
    <row r="84" spans="2:29" ht="15.4" customHeight="1">
      <c r="B84" s="16"/>
      <c r="C84" s="155" t="s">
        <v>28</v>
      </c>
      <c r="D84" s="185" t="s">
        <v>80</v>
      </c>
      <c r="E84" s="185"/>
      <c r="F84" s="185"/>
      <c r="G84" s="185"/>
      <c r="H84" s="185"/>
      <c r="I84" s="185"/>
      <c r="J84" s="20">
        <v>0</v>
      </c>
      <c r="K84" s="29">
        <f>ROUND(J84*K29,2)</f>
        <v>0</v>
      </c>
      <c r="L84" s="29">
        <f t="shared" ref="L84:M84" si="72">ROUND(K84*L29,2)</f>
        <v>0</v>
      </c>
      <c r="M84" s="29">
        <f t="shared" si="72"/>
        <v>0</v>
      </c>
      <c r="N84" s="29">
        <f>ROUND(K84*N29,2)</f>
        <v>0</v>
      </c>
      <c r="O84" s="29">
        <f t="shared" ref="O84:U84" si="73">ROUND(N84*O29,2)</f>
        <v>0</v>
      </c>
      <c r="P84" s="29">
        <f>ROUND(K84*P29,2)</f>
        <v>0</v>
      </c>
      <c r="Q84" s="29">
        <f>ROUND(P84*Q29,2)</f>
        <v>0</v>
      </c>
      <c r="R84" s="29">
        <f>ROUND(Q84*R29,2)</f>
        <v>0</v>
      </c>
      <c r="S84" s="29">
        <f t="shared" si="73"/>
        <v>0</v>
      </c>
      <c r="T84" s="29">
        <f t="shared" si="73"/>
        <v>0</v>
      </c>
      <c r="U84" s="29">
        <f t="shared" si="73"/>
        <v>0</v>
      </c>
      <c r="V84" s="29">
        <f t="shared" ref="V84:AC84" si="74">ROUND(S84*V29,2)</f>
        <v>0</v>
      </c>
      <c r="W84" s="29">
        <f t="shared" si="74"/>
        <v>0</v>
      </c>
      <c r="X84" s="29">
        <f t="shared" si="74"/>
        <v>0</v>
      </c>
      <c r="Y84" s="29">
        <f t="shared" si="74"/>
        <v>0</v>
      </c>
      <c r="Z84" s="29">
        <f t="shared" si="74"/>
        <v>0</v>
      </c>
      <c r="AA84" s="29">
        <f t="shared" si="74"/>
        <v>0</v>
      </c>
      <c r="AB84" s="29">
        <f t="shared" si="74"/>
        <v>0</v>
      </c>
      <c r="AC84" s="56">
        <f t="shared" si="74"/>
        <v>0</v>
      </c>
    </row>
    <row r="85" spans="2:29" ht="15" customHeight="1">
      <c r="B85" s="15"/>
      <c r="C85" s="183" t="s">
        <v>81</v>
      </c>
      <c r="D85" s="184"/>
      <c r="E85" s="184"/>
      <c r="F85" s="184"/>
      <c r="G85" s="184"/>
      <c r="H85" s="184"/>
      <c r="I85" s="184"/>
      <c r="J85" s="4">
        <f t="shared" ref="J85:V85" si="75">SUM(J79:J84)</f>
        <v>2.6481481481481477E-2</v>
      </c>
      <c r="K85" s="28">
        <f t="shared" si="75"/>
        <v>58.81</v>
      </c>
      <c r="L85" s="28">
        <f t="shared" si="75"/>
        <v>57.199999999999996</v>
      </c>
      <c r="M85" s="28">
        <f t="shared" si="75"/>
        <v>54.519999999999996</v>
      </c>
      <c r="N85" s="28">
        <f>SUM(N79:N84)</f>
        <v>62.22</v>
      </c>
      <c r="O85" s="28">
        <f>SUM(O79:O84)</f>
        <v>72.399999999999991</v>
      </c>
      <c r="P85" s="28">
        <f t="shared" si="75"/>
        <v>63.86</v>
      </c>
      <c r="Q85" s="28">
        <f t="shared" si="75"/>
        <v>62.22</v>
      </c>
      <c r="R85" s="28">
        <f t="shared" si="75"/>
        <v>72.399999999999991</v>
      </c>
      <c r="S85" s="28">
        <f t="shared" si="75"/>
        <v>59.09</v>
      </c>
      <c r="T85" s="28">
        <f>SUM(T79:T84)</f>
        <v>63.32</v>
      </c>
      <c r="U85" s="28">
        <f>SUM(U79:U84)</f>
        <v>70.59</v>
      </c>
      <c r="V85" s="28">
        <f t="shared" si="75"/>
        <v>97.37</v>
      </c>
      <c r="W85" s="28">
        <f t="shared" ref="W85:AB85" si="76">SUM(W79:W84)</f>
        <v>114.12</v>
      </c>
      <c r="X85" s="28">
        <f t="shared" si="76"/>
        <v>54.519999999999996</v>
      </c>
      <c r="Y85" s="28">
        <f t="shared" si="76"/>
        <v>54.519999999999996</v>
      </c>
      <c r="Z85" s="28">
        <f t="shared" si="76"/>
        <v>54.519999999999996</v>
      </c>
      <c r="AA85" s="28">
        <f t="shared" si="76"/>
        <v>54.55</v>
      </c>
      <c r="AB85" s="28">
        <f t="shared" si="76"/>
        <v>63.35</v>
      </c>
      <c r="AC85" s="60">
        <f t="shared" ref="AC85" si="77">SUM(AC79:AC84)</f>
        <v>56.18</v>
      </c>
    </row>
    <row r="86" spans="2:29" ht="15.4" customHeight="1">
      <c r="B86" s="15"/>
      <c r="C86" s="193"/>
      <c r="D86" s="194"/>
      <c r="E86" s="194"/>
      <c r="F86" s="194"/>
      <c r="G86" s="194"/>
      <c r="H86" s="194"/>
      <c r="I86" s="194"/>
      <c r="J86" s="194"/>
      <c r="K86" s="194"/>
      <c r="L86" s="194"/>
      <c r="M86" s="194"/>
      <c r="N86" s="194"/>
      <c r="O86" s="194"/>
      <c r="P86" s="194"/>
      <c r="Q86" s="194"/>
      <c r="R86" s="194"/>
      <c r="S86" s="194"/>
      <c r="T86" s="194"/>
      <c r="U86" s="194"/>
      <c r="V86" s="194"/>
      <c r="W86" s="194"/>
      <c r="X86" s="194"/>
      <c r="Y86" s="194"/>
      <c r="Z86" s="194"/>
      <c r="AA86" s="194"/>
      <c r="AB86" s="194"/>
      <c r="AC86" s="195"/>
    </row>
    <row r="87" spans="2:29" ht="15.4" customHeight="1">
      <c r="B87" s="15"/>
      <c r="C87" s="175" t="s">
        <v>82</v>
      </c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176"/>
      <c r="P87" s="176"/>
      <c r="Q87" s="176"/>
      <c r="R87" s="176"/>
      <c r="S87" s="176"/>
      <c r="T87" s="176"/>
      <c r="U87" s="176"/>
      <c r="V87" s="176"/>
      <c r="W87" s="176"/>
      <c r="X87" s="176"/>
      <c r="Y87" s="176"/>
      <c r="Z87" s="176"/>
      <c r="AA87" s="176"/>
      <c r="AB87" s="176"/>
      <c r="AC87" s="177"/>
    </row>
    <row r="88" spans="2:29" ht="14.25" customHeight="1">
      <c r="B88" s="15"/>
      <c r="C88" s="183" t="s">
        <v>83</v>
      </c>
      <c r="D88" s="184"/>
      <c r="E88" s="184"/>
      <c r="F88" s="184"/>
      <c r="G88" s="184"/>
      <c r="H88" s="184"/>
      <c r="I88" s="184"/>
      <c r="J88" s="13" t="s">
        <v>19</v>
      </c>
      <c r="K88" s="156" t="s">
        <v>20</v>
      </c>
      <c r="L88" s="156"/>
      <c r="M88" s="156"/>
      <c r="N88" s="156" t="s">
        <v>20</v>
      </c>
      <c r="O88" s="156" t="s">
        <v>20</v>
      </c>
      <c r="P88" s="156" t="s">
        <v>20</v>
      </c>
      <c r="Q88" s="156" t="s">
        <v>20</v>
      </c>
      <c r="R88" s="156" t="s">
        <v>20</v>
      </c>
      <c r="S88" s="156" t="s">
        <v>20</v>
      </c>
      <c r="T88" s="156" t="s">
        <v>20</v>
      </c>
      <c r="U88" s="156" t="s">
        <v>20</v>
      </c>
      <c r="V88" s="156" t="s">
        <v>20</v>
      </c>
      <c r="W88" s="156" t="s">
        <v>20</v>
      </c>
      <c r="X88" s="156" t="s">
        <v>20</v>
      </c>
      <c r="Y88" s="156" t="s">
        <v>20</v>
      </c>
      <c r="Z88" s="156" t="s">
        <v>20</v>
      </c>
      <c r="AA88" s="156" t="s">
        <v>20</v>
      </c>
      <c r="AB88" s="156" t="s">
        <v>20</v>
      </c>
      <c r="AC88" s="104" t="s">
        <v>20</v>
      </c>
    </row>
    <row r="89" spans="2:29" ht="14.25" customHeight="1">
      <c r="B89" s="15"/>
      <c r="C89" s="155" t="s">
        <v>21</v>
      </c>
      <c r="D89" s="185" t="s">
        <v>84</v>
      </c>
      <c r="E89" s="185"/>
      <c r="F89" s="185"/>
      <c r="G89" s="185"/>
      <c r="H89" s="185"/>
      <c r="I89" s="185"/>
      <c r="J89" s="3">
        <f>ROUND(J50*J85,4)</f>
        <v>0</v>
      </c>
      <c r="K89" s="12">
        <f t="shared" ref="K89:V89" si="78">ROUND($J89*K29,2)</f>
        <v>0</v>
      </c>
      <c r="L89" s="12">
        <f t="shared" si="78"/>
        <v>0</v>
      </c>
      <c r="M89" s="12">
        <f t="shared" si="78"/>
        <v>0</v>
      </c>
      <c r="N89" s="12">
        <f>ROUND($J89*N29,2)</f>
        <v>0</v>
      </c>
      <c r="O89" s="12">
        <f>ROUND($J89*O29,2)</f>
        <v>0</v>
      </c>
      <c r="P89" s="12">
        <f t="shared" si="78"/>
        <v>0</v>
      </c>
      <c r="Q89" s="12">
        <f t="shared" si="78"/>
        <v>0</v>
      </c>
      <c r="R89" s="12">
        <f t="shared" si="78"/>
        <v>0</v>
      </c>
      <c r="S89" s="12">
        <f t="shared" si="78"/>
        <v>0</v>
      </c>
      <c r="T89" s="12">
        <f>ROUND($J89*T29,2)</f>
        <v>0</v>
      </c>
      <c r="U89" s="12">
        <f>ROUND($J89*U29,2)</f>
        <v>0</v>
      </c>
      <c r="V89" s="12">
        <f t="shared" si="78"/>
        <v>0</v>
      </c>
      <c r="W89" s="12">
        <f t="shared" ref="W89:AB89" si="79">ROUND($J89*W29,2)</f>
        <v>0</v>
      </c>
      <c r="X89" s="12">
        <f t="shared" si="79"/>
        <v>0</v>
      </c>
      <c r="Y89" s="12">
        <f t="shared" si="79"/>
        <v>0</v>
      </c>
      <c r="Z89" s="12">
        <f t="shared" si="79"/>
        <v>0</v>
      </c>
      <c r="AA89" s="12">
        <f t="shared" si="79"/>
        <v>0</v>
      </c>
      <c r="AB89" s="12">
        <f t="shared" si="79"/>
        <v>0</v>
      </c>
      <c r="AC89" s="44">
        <f t="shared" ref="AC89" si="80">ROUND($J89*AC29,2)</f>
        <v>0</v>
      </c>
    </row>
    <row r="90" spans="2:29" ht="14.25" customHeight="1">
      <c r="B90" s="15"/>
      <c r="C90" s="183" t="s">
        <v>85</v>
      </c>
      <c r="D90" s="184"/>
      <c r="E90" s="184"/>
      <c r="F90" s="184"/>
      <c r="G90" s="184"/>
      <c r="H90" s="184"/>
      <c r="I90" s="184"/>
      <c r="J90" s="4">
        <f t="shared" ref="J90:V90" si="81">SUM(J89)</f>
        <v>0</v>
      </c>
      <c r="K90" s="163">
        <f t="shared" si="81"/>
        <v>0</v>
      </c>
      <c r="L90" s="163">
        <f t="shared" si="81"/>
        <v>0</v>
      </c>
      <c r="M90" s="163">
        <f t="shared" si="81"/>
        <v>0</v>
      </c>
      <c r="N90" s="163">
        <f>SUM(N89)</f>
        <v>0</v>
      </c>
      <c r="O90" s="163">
        <f>SUM(O89)</f>
        <v>0</v>
      </c>
      <c r="P90" s="163">
        <f t="shared" si="81"/>
        <v>0</v>
      </c>
      <c r="Q90" s="163">
        <f t="shared" si="81"/>
        <v>0</v>
      </c>
      <c r="R90" s="163">
        <f t="shared" si="81"/>
        <v>0</v>
      </c>
      <c r="S90" s="163">
        <f t="shared" si="81"/>
        <v>0</v>
      </c>
      <c r="T90" s="163">
        <f>SUM(T89)</f>
        <v>0</v>
      </c>
      <c r="U90" s="163">
        <f>SUM(U89)</f>
        <v>0</v>
      </c>
      <c r="V90" s="163">
        <f t="shared" si="81"/>
        <v>0</v>
      </c>
      <c r="W90" s="163">
        <f t="shared" ref="W90:AB90" si="82">SUM(W89)</f>
        <v>0</v>
      </c>
      <c r="X90" s="163">
        <f t="shared" si="82"/>
        <v>0</v>
      </c>
      <c r="Y90" s="163">
        <f t="shared" si="82"/>
        <v>0</v>
      </c>
      <c r="Z90" s="163">
        <f t="shared" si="82"/>
        <v>0</v>
      </c>
      <c r="AA90" s="163">
        <f t="shared" si="82"/>
        <v>0</v>
      </c>
      <c r="AB90" s="163">
        <f t="shared" si="82"/>
        <v>0</v>
      </c>
      <c r="AC90" s="164">
        <f t="shared" ref="AC90" si="83">SUM(AC89)</f>
        <v>0</v>
      </c>
    </row>
    <row r="91" spans="2:29" ht="15.4" customHeight="1">
      <c r="B91" s="15"/>
      <c r="C91" s="183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58"/>
      <c r="AC91" s="59"/>
    </row>
    <row r="92" spans="2:29" ht="15.4" customHeight="1">
      <c r="B92" s="15"/>
      <c r="C92" s="175" t="s">
        <v>86</v>
      </c>
      <c r="D92" s="176"/>
      <c r="E92" s="176"/>
      <c r="F92" s="176"/>
      <c r="G92" s="176"/>
      <c r="H92" s="176"/>
      <c r="I92" s="176"/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7"/>
    </row>
    <row r="93" spans="2:29" ht="15.4" customHeight="1">
      <c r="B93" s="15"/>
      <c r="C93" s="183" t="s">
        <v>87</v>
      </c>
      <c r="D93" s="184"/>
      <c r="E93" s="184"/>
      <c r="F93" s="184"/>
      <c r="G93" s="184"/>
      <c r="H93" s="184"/>
      <c r="I93" s="184"/>
      <c r="J93" s="184"/>
      <c r="K93" s="156" t="s">
        <v>20</v>
      </c>
      <c r="L93" s="156"/>
      <c r="M93" s="156"/>
      <c r="N93" s="156" t="s">
        <v>20</v>
      </c>
      <c r="O93" s="156" t="s">
        <v>20</v>
      </c>
      <c r="P93" s="156" t="s">
        <v>20</v>
      </c>
      <c r="Q93" s="156" t="s">
        <v>20</v>
      </c>
      <c r="R93" s="156" t="s">
        <v>20</v>
      </c>
      <c r="S93" s="156" t="s">
        <v>20</v>
      </c>
      <c r="T93" s="156" t="s">
        <v>20</v>
      </c>
      <c r="U93" s="156" t="s">
        <v>20</v>
      </c>
      <c r="V93" s="156" t="s">
        <v>20</v>
      </c>
      <c r="W93" s="156" t="s">
        <v>20</v>
      </c>
      <c r="X93" s="156" t="s">
        <v>20</v>
      </c>
      <c r="Y93" s="156" t="s">
        <v>20</v>
      </c>
      <c r="Z93" s="156" t="s">
        <v>20</v>
      </c>
      <c r="AA93" s="156" t="s">
        <v>20</v>
      </c>
      <c r="AB93" s="156" t="s">
        <v>20</v>
      </c>
      <c r="AC93" s="104" t="s">
        <v>20</v>
      </c>
    </row>
    <row r="94" spans="2:29" ht="15.4" customHeight="1">
      <c r="B94" s="15"/>
      <c r="C94" s="155" t="s">
        <v>88</v>
      </c>
      <c r="D94" s="185" t="s">
        <v>74</v>
      </c>
      <c r="E94" s="185"/>
      <c r="F94" s="185"/>
      <c r="G94" s="185"/>
      <c r="H94" s="185"/>
      <c r="I94" s="185"/>
      <c r="J94" s="185"/>
      <c r="K94" s="29">
        <f>K85</f>
        <v>58.81</v>
      </c>
      <c r="L94" s="29">
        <f t="shared" ref="L94:M94" si="84">L85</f>
        <v>57.199999999999996</v>
      </c>
      <c r="M94" s="29">
        <f t="shared" si="84"/>
        <v>54.519999999999996</v>
      </c>
      <c r="N94" s="29">
        <f>N85</f>
        <v>62.22</v>
      </c>
      <c r="O94" s="29">
        <f>O85</f>
        <v>72.399999999999991</v>
      </c>
      <c r="P94" s="29">
        <f t="shared" ref="P94:V94" si="85">P85</f>
        <v>63.86</v>
      </c>
      <c r="Q94" s="29">
        <f t="shared" si="85"/>
        <v>62.22</v>
      </c>
      <c r="R94" s="29">
        <f t="shared" si="85"/>
        <v>72.399999999999991</v>
      </c>
      <c r="S94" s="29">
        <f t="shared" si="85"/>
        <v>59.09</v>
      </c>
      <c r="T94" s="29">
        <f>T85</f>
        <v>63.32</v>
      </c>
      <c r="U94" s="29">
        <f>U85</f>
        <v>70.59</v>
      </c>
      <c r="V94" s="29">
        <f t="shared" si="85"/>
        <v>97.37</v>
      </c>
      <c r="W94" s="29">
        <f t="shared" ref="W94:AB94" si="86">W85</f>
        <v>114.12</v>
      </c>
      <c r="X94" s="29">
        <f t="shared" si="86"/>
        <v>54.519999999999996</v>
      </c>
      <c r="Y94" s="29">
        <f t="shared" si="86"/>
        <v>54.519999999999996</v>
      </c>
      <c r="Z94" s="29">
        <f t="shared" si="86"/>
        <v>54.519999999999996</v>
      </c>
      <c r="AA94" s="29">
        <f t="shared" si="86"/>
        <v>54.55</v>
      </c>
      <c r="AB94" s="29">
        <f t="shared" si="86"/>
        <v>63.35</v>
      </c>
      <c r="AC94" s="56">
        <f t="shared" ref="AC94" si="87">AC85</f>
        <v>56.18</v>
      </c>
    </row>
    <row r="95" spans="2:29" ht="15.4" customHeight="1">
      <c r="B95" s="15"/>
      <c r="C95" s="155" t="s">
        <v>89</v>
      </c>
      <c r="D95" s="185" t="s">
        <v>83</v>
      </c>
      <c r="E95" s="185"/>
      <c r="F95" s="185"/>
      <c r="G95" s="185"/>
      <c r="H95" s="185"/>
      <c r="I95" s="185"/>
      <c r="J95" s="185"/>
      <c r="K95" s="29">
        <f t="shared" ref="K95:V95" si="88">K90</f>
        <v>0</v>
      </c>
      <c r="L95" s="29">
        <f t="shared" si="88"/>
        <v>0</v>
      </c>
      <c r="M95" s="29">
        <f t="shared" si="88"/>
        <v>0</v>
      </c>
      <c r="N95" s="29">
        <f>N90</f>
        <v>0</v>
      </c>
      <c r="O95" s="29">
        <f>O90</f>
        <v>0</v>
      </c>
      <c r="P95" s="29">
        <f t="shared" si="88"/>
        <v>0</v>
      </c>
      <c r="Q95" s="29">
        <f t="shared" si="88"/>
        <v>0</v>
      </c>
      <c r="R95" s="29">
        <f t="shared" si="88"/>
        <v>0</v>
      </c>
      <c r="S95" s="29">
        <f t="shared" si="88"/>
        <v>0</v>
      </c>
      <c r="T95" s="29">
        <f>T90</f>
        <v>0</v>
      </c>
      <c r="U95" s="29">
        <f>U90</f>
        <v>0</v>
      </c>
      <c r="V95" s="29">
        <f t="shared" si="88"/>
        <v>0</v>
      </c>
      <c r="W95" s="29">
        <f t="shared" ref="W95:AB95" si="89">W90</f>
        <v>0</v>
      </c>
      <c r="X95" s="29">
        <f t="shared" si="89"/>
        <v>0</v>
      </c>
      <c r="Y95" s="29">
        <f t="shared" si="89"/>
        <v>0</v>
      </c>
      <c r="Z95" s="29">
        <f t="shared" si="89"/>
        <v>0</v>
      </c>
      <c r="AA95" s="29">
        <f t="shared" si="89"/>
        <v>0</v>
      </c>
      <c r="AB95" s="29">
        <f t="shared" si="89"/>
        <v>0</v>
      </c>
      <c r="AC95" s="56">
        <f t="shared" ref="AC95" si="90">AC90</f>
        <v>0</v>
      </c>
    </row>
    <row r="96" spans="2:29" ht="14.25" customHeight="1" thickBot="1">
      <c r="B96" s="15"/>
      <c r="C96" s="186" t="s">
        <v>90</v>
      </c>
      <c r="D96" s="187"/>
      <c r="E96" s="187"/>
      <c r="F96" s="187"/>
      <c r="G96" s="187"/>
      <c r="H96" s="187"/>
      <c r="I96" s="187"/>
      <c r="J96" s="187"/>
      <c r="K96" s="33">
        <f t="shared" ref="K96:V96" si="91">SUM(K94:K95)</f>
        <v>58.81</v>
      </c>
      <c r="L96" s="33">
        <f t="shared" si="91"/>
        <v>57.199999999999996</v>
      </c>
      <c r="M96" s="33">
        <f t="shared" si="91"/>
        <v>54.519999999999996</v>
      </c>
      <c r="N96" s="33">
        <f>SUM(N94:N95)</f>
        <v>62.22</v>
      </c>
      <c r="O96" s="33">
        <f>SUM(O94:O95)</f>
        <v>72.399999999999991</v>
      </c>
      <c r="P96" s="33">
        <f t="shared" si="91"/>
        <v>63.86</v>
      </c>
      <c r="Q96" s="33">
        <f t="shared" si="91"/>
        <v>62.22</v>
      </c>
      <c r="R96" s="33">
        <f t="shared" si="91"/>
        <v>72.399999999999991</v>
      </c>
      <c r="S96" s="33">
        <f t="shared" si="91"/>
        <v>59.09</v>
      </c>
      <c r="T96" s="33">
        <f>SUM(T94:T95)</f>
        <v>63.32</v>
      </c>
      <c r="U96" s="33">
        <f>SUM(U94:U95)</f>
        <v>70.59</v>
      </c>
      <c r="V96" s="33">
        <f t="shared" si="91"/>
        <v>97.37</v>
      </c>
      <c r="W96" s="33">
        <f t="shared" ref="W96:AB96" si="92">SUM(W94:W95)</f>
        <v>114.12</v>
      </c>
      <c r="X96" s="33">
        <f t="shared" si="92"/>
        <v>54.519999999999996</v>
      </c>
      <c r="Y96" s="33">
        <f t="shared" si="92"/>
        <v>54.519999999999996</v>
      </c>
      <c r="Z96" s="33">
        <f t="shared" si="92"/>
        <v>54.519999999999996</v>
      </c>
      <c r="AA96" s="33">
        <f t="shared" si="92"/>
        <v>54.55</v>
      </c>
      <c r="AB96" s="33">
        <f t="shared" si="92"/>
        <v>63.35</v>
      </c>
      <c r="AC96" s="57">
        <f t="shared" ref="AC96" si="93">SUM(AC94:AC95)</f>
        <v>56.18</v>
      </c>
    </row>
    <row r="97" spans="2:33" ht="15.75" customHeight="1" thickTop="1" thickBot="1">
      <c r="B97" s="15"/>
      <c r="C97" s="198"/>
      <c r="D97" s="198"/>
      <c r="E97" s="198"/>
      <c r="F97" s="198"/>
      <c r="G97" s="198"/>
      <c r="H97" s="198"/>
      <c r="I97" s="198"/>
      <c r="J97" s="198"/>
      <c r="K97" s="198"/>
      <c r="L97" s="198"/>
      <c r="M97" s="198"/>
      <c r="N97" s="198"/>
      <c r="O97" s="198"/>
      <c r="P97" s="198"/>
      <c r="Q97" s="198"/>
      <c r="R97" s="198"/>
      <c r="S97" s="198"/>
      <c r="T97" s="198"/>
      <c r="U97" s="198"/>
      <c r="V97" s="198"/>
      <c r="W97" s="198"/>
      <c r="X97" s="198"/>
      <c r="Y97" s="198"/>
      <c r="Z97" s="198"/>
      <c r="AA97" s="198"/>
    </row>
    <row r="98" spans="2:33" ht="15.4" customHeight="1" thickTop="1">
      <c r="B98" s="15"/>
      <c r="C98" s="169" t="s">
        <v>91</v>
      </c>
      <c r="D98" s="170"/>
      <c r="E98" s="170"/>
      <c r="F98" s="170"/>
      <c r="G98" s="170"/>
      <c r="H98" s="170"/>
      <c r="I98" s="170"/>
      <c r="J98" s="170"/>
      <c r="K98" s="170"/>
      <c r="L98" s="170"/>
      <c r="M98" s="170"/>
      <c r="N98" s="170"/>
      <c r="O98" s="170"/>
      <c r="P98" s="170"/>
      <c r="Q98" s="170"/>
      <c r="R98" s="170"/>
      <c r="S98" s="170"/>
      <c r="T98" s="170"/>
      <c r="U98" s="170"/>
      <c r="V98" s="170"/>
      <c r="W98" s="170"/>
      <c r="X98" s="170"/>
      <c r="Y98" s="170"/>
      <c r="Z98" s="170"/>
      <c r="AA98" s="170"/>
      <c r="AB98" s="170"/>
      <c r="AC98" s="171"/>
    </row>
    <row r="99" spans="2:33" ht="24.95" customHeight="1">
      <c r="B99" s="15"/>
      <c r="C99" s="183" t="s">
        <v>92</v>
      </c>
      <c r="D99" s="184"/>
      <c r="E99" s="184"/>
      <c r="F99" s="184"/>
      <c r="G99" s="184"/>
      <c r="H99" s="184"/>
      <c r="I99" s="184"/>
      <c r="J99" s="184"/>
      <c r="K99" s="156" t="s">
        <v>20</v>
      </c>
      <c r="L99" s="156"/>
      <c r="M99" s="156"/>
      <c r="N99" s="156" t="s">
        <v>20</v>
      </c>
      <c r="O99" s="156" t="s">
        <v>20</v>
      </c>
      <c r="P99" s="156" t="s">
        <v>20</v>
      </c>
      <c r="Q99" s="156" t="s">
        <v>20</v>
      </c>
      <c r="R99" s="156" t="s">
        <v>20</v>
      </c>
      <c r="S99" s="156" t="s">
        <v>20</v>
      </c>
      <c r="T99" s="156" t="s">
        <v>20</v>
      </c>
      <c r="U99" s="156" t="s">
        <v>20</v>
      </c>
      <c r="V99" s="156" t="s">
        <v>20</v>
      </c>
      <c r="W99" s="156" t="s">
        <v>20</v>
      </c>
      <c r="X99" s="156" t="s">
        <v>20</v>
      </c>
      <c r="Y99" s="156" t="s">
        <v>20</v>
      </c>
      <c r="Z99" s="156" t="s">
        <v>20</v>
      </c>
      <c r="AA99" s="156" t="s">
        <v>20</v>
      </c>
      <c r="AB99" s="156" t="s">
        <v>20</v>
      </c>
      <c r="AC99" s="104" t="s">
        <v>20</v>
      </c>
    </row>
    <row r="100" spans="2:33" ht="15.4" customHeight="1">
      <c r="B100" s="15"/>
      <c r="C100" s="155" t="s">
        <v>21</v>
      </c>
      <c r="D100" s="211" t="s">
        <v>93</v>
      </c>
      <c r="E100" s="211"/>
      <c r="F100" s="211"/>
      <c r="G100" s="211"/>
      <c r="H100" s="211"/>
      <c r="I100" s="211"/>
      <c r="J100" s="211"/>
      <c r="K100" s="29">
        <f>'Uniformes e Equipamentos'!$I$19</f>
        <v>44.79666666666666</v>
      </c>
      <c r="L100" s="29">
        <f>'Uniformes e Equipamentos'!$I$19</f>
        <v>44.79666666666666</v>
      </c>
      <c r="M100" s="29">
        <f>'Uniformes e Equipamentos'!$I$19</f>
        <v>44.79666666666666</v>
      </c>
      <c r="N100" s="29">
        <f>'Uniformes e Equipamentos'!$I$19</f>
        <v>44.79666666666666</v>
      </c>
      <c r="O100" s="29">
        <f>'Uniformes e Equipamentos'!$I$19</f>
        <v>44.79666666666666</v>
      </c>
      <c r="P100" s="29">
        <f>'Uniformes e Equipamentos'!$I$19</f>
        <v>44.79666666666666</v>
      </c>
      <c r="Q100" s="29">
        <f>'Uniformes e Equipamentos'!$I$19</f>
        <v>44.79666666666666</v>
      </c>
      <c r="R100" s="29">
        <f>'Uniformes e Equipamentos'!$I$19</f>
        <v>44.79666666666666</v>
      </c>
      <c r="S100" s="29">
        <f>'Uniformes e Equipamentos'!$I$19</f>
        <v>44.79666666666666</v>
      </c>
      <c r="T100" s="29">
        <f>'Uniformes e Equipamentos'!$I$19</f>
        <v>44.79666666666666</v>
      </c>
      <c r="U100" s="29">
        <f>'Uniformes e Equipamentos'!$I$19</f>
        <v>44.79666666666666</v>
      </c>
      <c r="V100" s="29">
        <f>'Uniformes e Equipamentos'!$I$31</f>
        <v>62.112916666666671</v>
      </c>
      <c r="W100" s="29">
        <f>'Uniformes e Equipamentos'!$I$31</f>
        <v>62.112916666666671</v>
      </c>
      <c r="X100" s="29">
        <f>'Uniformes e Equipamentos'!$I$31</f>
        <v>62.112916666666671</v>
      </c>
      <c r="Y100" s="29">
        <f>'Uniformes e Equipamentos'!$I$19</f>
        <v>44.79666666666666</v>
      </c>
      <c r="Z100" s="29">
        <f>'Uniformes e Equipamentos'!$I$41</f>
        <v>42.016666666666673</v>
      </c>
      <c r="AA100" s="29">
        <f>'Uniformes e Equipamentos'!$I$19</f>
        <v>44.79666666666666</v>
      </c>
      <c r="AB100" s="29">
        <f>'Uniformes e Equipamentos'!$I$19</f>
        <v>44.79666666666666</v>
      </c>
      <c r="AC100" s="167">
        <f>'Uniformes e Equipamentos'!I19</f>
        <v>44.79666666666666</v>
      </c>
      <c r="AD100" s="165"/>
      <c r="AE100" s="165"/>
      <c r="AF100" s="165"/>
      <c r="AG100" s="165"/>
    </row>
    <row r="101" spans="2:33" ht="15.4" customHeight="1">
      <c r="B101" s="15"/>
      <c r="C101" s="155" t="s">
        <v>23</v>
      </c>
      <c r="D101" s="211" t="s">
        <v>94</v>
      </c>
      <c r="E101" s="211"/>
      <c r="F101" s="211"/>
      <c r="G101" s="211"/>
      <c r="H101" s="211"/>
      <c r="I101" s="211"/>
      <c r="J101" s="211"/>
      <c r="K101" s="29">
        <v>0</v>
      </c>
      <c r="L101" s="29"/>
      <c r="M101" s="29"/>
      <c r="N101" s="29">
        <v>0</v>
      </c>
      <c r="O101" s="29"/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f>'Materiais de Consumo'!$K$38</f>
        <v>691.68</v>
      </c>
      <c r="Y101" s="29">
        <v>0</v>
      </c>
      <c r="Z101" s="29">
        <v>0</v>
      </c>
      <c r="AA101" s="29">
        <v>0</v>
      </c>
      <c r="AB101" s="29">
        <v>0</v>
      </c>
      <c r="AC101" s="56">
        <v>0</v>
      </c>
    </row>
    <row r="102" spans="2:33" ht="15.4" customHeight="1">
      <c r="B102" s="15"/>
      <c r="C102" s="155" t="s">
        <v>24</v>
      </c>
      <c r="D102" s="185" t="s">
        <v>95</v>
      </c>
      <c r="E102" s="185"/>
      <c r="F102" s="185"/>
      <c r="G102" s="185"/>
      <c r="H102" s="185"/>
      <c r="I102" s="185"/>
      <c r="J102" s="185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>
        <f>'Materiais de Consumo'!$K$56</f>
        <v>114.30833333333332</v>
      </c>
      <c r="Y102" s="29"/>
      <c r="Z102" s="29">
        <f>'Uniformes e Equipamentos'!$I$53</f>
        <v>64.308333333333323</v>
      </c>
      <c r="AA102" s="29">
        <f>'Uniformes e Equipamentos'!J52</f>
        <v>0</v>
      </c>
      <c r="AB102" s="29">
        <f>'Uniformes e Equipamentos'!K52</f>
        <v>0</v>
      </c>
      <c r="AC102" s="56">
        <f>'Uniformes e Equipamentos'!L52</f>
        <v>0</v>
      </c>
    </row>
    <row r="103" spans="2:33" ht="15.4" customHeight="1">
      <c r="B103" s="15"/>
      <c r="C103" s="155" t="s">
        <v>25</v>
      </c>
      <c r="D103" s="185" t="s">
        <v>96</v>
      </c>
      <c r="E103" s="185"/>
      <c r="F103" s="185"/>
      <c r="G103" s="185"/>
      <c r="H103" s="185"/>
      <c r="I103" s="185"/>
      <c r="J103" s="185"/>
      <c r="K103" s="29">
        <v>0</v>
      </c>
      <c r="L103" s="29"/>
      <c r="M103" s="29"/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56">
        <v>0</v>
      </c>
    </row>
    <row r="104" spans="2:33" ht="15.4" customHeight="1" thickBot="1">
      <c r="B104" s="15"/>
      <c r="C104" s="186" t="s">
        <v>97</v>
      </c>
      <c r="D104" s="187"/>
      <c r="E104" s="187"/>
      <c r="F104" s="187"/>
      <c r="G104" s="187"/>
      <c r="H104" s="187"/>
      <c r="I104" s="187"/>
      <c r="J104" s="187"/>
      <c r="K104" s="33">
        <f t="shared" ref="K104:V104" si="94">SUM(K100:K103)</f>
        <v>44.79666666666666</v>
      </c>
      <c r="L104" s="33">
        <f t="shared" si="94"/>
        <v>44.79666666666666</v>
      </c>
      <c r="M104" s="33">
        <f t="shared" si="94"/>
        <v>44.79666666666666</v>
      </c>
      <c r="N104" s="33">
        <f>SUM(N100:N103)</f>
        <v>44.79666666666666</v>
      </c>
      <c r="O104" s="33">
        <f>SUM(O100:O103)</f>
        <v>44.79666666666666</v>
      </c>
      <c r="P104" s="33">
        <f t="shared" si="94"/>
        <v>44.79666666666666</v>
      </c>
      <c r="Q104" s="33">
        <f t="shared" si="94"/>
        <v>44.79666666666666</v>
      </c>
      <c r="R104" s="33">
        <f t="shared" si="94"/>
        <v>44.79666666666666</v>
      </c>
      <c r="S104" s="33">
        <f t="shared" si="94"/>
        <v>44.79666666666666</v>
      </c>
      <c r="T104" s="33">
        <f>SUM(T100:T103)</f>
        <v>44.79666666666666</v>
      </c>
      <c r="U104" s="33">
        <f>SUM(U100:U103)</f>
        <v>44.79666666666666</v>
      </c>
      <c r="V104" s="33">
        <f t="shared" si="94"/>
        <v>62.112916666666671</v>
      </c>
      <c r="W104" s="33">
        <f t="shared" ref="W104:AB104" si="95">SUM(W100:W103)</f>
        <v>62.112916666666671</v>
      </c>
      <c r="X104" s="33">
        <f t="shared" si="95"/>
        <v>868.10124999999994</v>
      </c>
      <c r="Y104" s="33">
        <f t="shared" si="95"/>
        <v>44.79666666666666</v>
      </c>
      <c r="Z104" s="33">
        <f t="shared" si="95"/>
        <v>106.32499999999999</v>
      </c>
      <c r="AA104" s="33">
        <f t="shared" si="95"/>
        <v>44.79666666666666</v>
      </c>
      <c r="AB104" s="33">
        <f t="shared" si="95"/>
        <v>44.79666666666666</v>
      </c>
      <c r="AC104" s="57">
        <f t="shared" ref="AC104" si="96">SUM(AC100:AC103)</f>
        <v>44.79666666666666</v>
      </c>
    </row>
    <row r="105" spans="2:33" ht="15.4" customHeight="1" thickTop="1" thickBot="1">
      <c r="B105" s="15"/>
      <c r="C105" s="198"/>
      <c r="D105" s="198"/>
      <c r="E105" s="198"/>
      <c r="F105" s="198"/>
      <c r="G105" s="198"/>
      <c r="H105" s="198"/>
      <c r="I105" s="198"/>
      <c r="J105" s="198"/>
      <c r="K105" s="198"/>
      <c r="L105" s="198"/>
      <c r="M105" s="198"/>
      <c r="N105" s="198"/>
      <c r="O105" s="198"/>
      <c r="P105" s="198"/>
      <c r="Q105" s="198"/>
      <c r="R105" s="198"/>
      <c r="S105" s="198"/>
      <c r="T105" s="198"/>
      <c r="U105" s="198"/>
      <c r="V105" s="198"/>
      <c r="W105" s="198"/>
      <c r="X105" s="198"/>
      <c r="Y105" s="198"/>
      <c r="Z105" s="198"/>
      <c r="AA105" s="198"/>
    </row>
    <row r="106" spans="2:33" ht="15.75" customHeight="1" thickTop="1">
      <c r="B106" s="15"/>
      <c r="C106" s="169" t="s">
        <v>98</v>
      </c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0"/>
      <c r="X106" s="170"/>
      <c r="Y106" s="170"/>
      <c r="Z106" s="170"/>
      <c r="AA106" s="170"/>
      <c r="AB106" s="170"/>
      <c r="AC106" s="171"/>
    </row>
    <row r="107" spans="2:33" ht="24.95" customHeight="1">
      <c r="B107" s="15"/>
      <c r="C107" s="209" t="s">
        <v>99</v>
      </c>
      <c r="D107" s="210"/>
      <c r="E107" s="210"/>
      <c r="F107" s="210"/>
      <c r="G107" s="210"/>
      <c r="H107" s="210"/>
      <c r="I107" s="210"/>
      <c r="J107" s="156" t="s">
        <v>19</v>
      </c>
      <c r="K107" s="156" t="s">
        <v>20</v>
      </c>
      <c r="L107" s="156"/>
      <c r="M107" s="156"/>
      <c r="N107" s="156" t="s">
        <v>20</v>
      </c>
      <c r="O107" s="156" t="s">
        <v>20</v>
      </c>
      <c r="P107" s="156" t="s">
        <v>20</v>
      </c>
      <c r="Q107" s="156" t="s">
        <v>20</v>
      </c>
      <c r="R107" s="156" t="s">
        <v>20</v>
      </c>
      <c r="S107" s="156" t="s">
        <v>20</v>
      </c>
      <c r="T107" s="156" t="s">
        <v>20</v>
      </c>
      <c r="U107" s="156" t="s">
        <v>20</v>
      </c>
      <c r="V107" s="156" t="s">
        <v>20</v>
      </c>
      <c r="W107" s="156" t="s">
        <v>20</v>
      </c>
      <c r="X107" s="156" t="s">
        <v>20</v>
      </c>
      <c r="Y107" s="156" t="s">
        <v>20</v>
      </c>
      <c r="Z107" s="156" t="s">
        <v>20</v>
      </c>
      <c r="AA107" s="156" t="s">
        <v>20</v>
      </c>
      <c r="AB107" s="156" t="s">
        <v>20</v>
      </c>
      <c r="AC107" s="104" t="s">
        <v>20</v>
      </c>
    </row>
    <row r="108" spans="2:33" ht="15" customHeight="1">
      <c r="B108" s="15"/>
      <c r="C108" s="34" t="s">
        <v>21</v>
      </c>
      <c r="D108" s="185" t="s">
        <v>100</v>
      </c>
      <c r="E108" s="185"/>
      <c r="F108" s="185"/>
      <c r="G108" s="185"/>
      <c r="H108" s="185"/>
      <c r="I108" s="185"/>
      <c r="J108" s="3">
        <v>0.05</v>
      </c>
      <c r="K108" s="1">
        <f t="shared" ref="K108:AC108" si="97">TRUNC((K$125)*$J$108,2)</f>
        <v>143.30000000000001</v>
      </c>
      <c r="L108" s="1">
        <f t="shared" si="97"/>
        <v>135.30000000000001</v>
      </c>
      <c r="M108" s="1">
        <f t="shared" si="97"/>
        <v>134.4</v>
      </c>
      <c r="N108" s="1">
        <f t="shared" si="97"/>
        <v>145.71</v>
      </c>
      <c r="O108" s="1">
        <f t="shared" si="97"/>
        <v>166.9</v>
      </c>
      <c r="P108" s="1">
        <f t="shared" si="97"/>
        <v>153.71</v>
      </c>
      <c r="Q108" s="1">
        <f t="shared" si="97"/>
        <v>145.71</v>
      </c>
      <c r="R108" s="1">
        <f t="shared" si="97"/>
        <v>166.9</v>
      </c>
      <c r="S108" s="1">
        <f t="shared" si="97"/>
        <v>147.69999999999999</v>
      </c>
      <c r="T108" s="1">
        <f t="shared" si="97"/>
        <v>156.53</v>
      </c>
      <c r="U108" s="1">
        <f t="shared" si="97"/>
        <v>171.66</v>
      </c>
      <c r="V108" s="1">
        <f t="shared" si="97"/>
        <v>214.25</v>
      </c>
      <c r="W108" s="1">
        <f t="shared" si="97"/>
        <v>249.13</v>
      </c>
      <c r="X108" s="1">
        <f t="shared" si="97"/>
        <v>175.56</v>
      </c>
      <c r="Y108" s="1">
        <f t="shared" si="97"/>
        <v>134.4</v>
      </c>
      <c r="Z108" s="1">
        <f t="shared" si="97"/>
        <v>137.47</v>
      </c>
      <c r="AA108" s="1">
        <f t="shared" si="97"/>
        <v>129.85</v>
      </c>
      <c r="AB108" s="1">
        <f t="shared" si="97"/>
        <v>148.19</v>
      </c>
      <c r="AC108" s="48">
        <f t="shared" si="97"/>
        <v>137.85</v>
      </c>
    </row>
    <row r="109" spans="2:33" ht="15" customHeight="1">
      <c r="B109" s="15"/>
      <c r="C109" s="34" t="s">
        <v>23</v>
      </c>
      <c r="D109" s="185" t="s">
        <v>101</v>
      </c>
      <c r="E109" s="185"/>
      <c r="F109" s="185"/>
      <c r="G109" s="185"/>
      <c r="H109" s="185"/>
      <c r="I109" s="185"/>
      <c r="J109" s="3">
        <v>0.1</v>
      </c>
      <c r="K109" s="1">
        <f t="shared" ref="K109:AC109" si="98">TRUNC((K$125+K$108)*$J$109,2)</f>
        <v>300.93</v>
      </c>
      <c r="L109" s="1">
        <f t="shared" si="98"/>
        <v>284.13</v>
      </c>
      <c r="M109" s="1">
        <f t="shared" si="98"/>
        <v>282.24</v>
      </c>
      <c r="N109" s="1">
        <f t="shared" si="98"/>
        <v>305.99</v>
      </c>
      <c r="O109" s="1">
        <f t="shared" si="98"/>
        <v>350.49</v>
      </c>
      <c r="P109" s="1">
        <f t="shared" si="98"/>
        <v>322.79000000000002</v>
      </c>
      <c r="Q109" s="1">
        <f t="shared" si="98"/>
        <v>305.99</v>
      </c>
      <c r="R109" s="1">
        <f t="shared" si="98"/>
        <v>350.49</v>
      </c>
      <c r="S109" s="1">
        <f t="shared" si="98"/>
        <v>310.18</v>
      </c>
      <c r="T109" s="1">
        <f t="shared" si="98"/>
        <v>328.72</v>
      </c>
      <c r="U109" s="1">
        <f t="shared" si="98"/>
        <v>360.5</v>
      </c>
      <c r="V109" s="1">
        <f t="shared" si="98"/>
        <v>449.93</v>
      </c>
      <c r="W109" s="1">
        <f t="shared" si="98"/>
        <v>523.17999999999995</v>
      </c>
      <c r="X109" s="1">
        <f t="shared" si="98"/>
        <v>368.68</v>
      </c>
      <c r="Y109" s="1">
        <f t="shared" si="98"/>
        <v>282.24</v>
      </c>
      <c r="Z109" s="1">
        <f t="shared" si="98"/>
        <v>288.7</v>
      </c>
      <c r="AA109" s="1">
        <f t="shared" si="98"/>
        <v>272.7</v>
      </c>
      <c r="AB109" s="1">
        <f t="shared" si="98"/>
        <v>311.2</v>
      </c>
      <c r="AC109" s="48">
        <f t="shared" si="98"/>
        <v>289.5</v>
      </c>
    </row>
    <row r="110" spans="2:33">
      <c r="B110" s="15"/>
      <c r="C110" s="34" t="s">
        <v>24</v>
      </c>
      <c r="D110" s="185" t="s">
        <v>102</v>
      </c>
      <c r="E110" s="185"/>
      <c r="F110" s="185"/>
      <c r="G110" s="185"/>
      <c r="H110" s="185"/>
      <c r="I110" s="185"/>
      <c r="J110" s="3">
        <f>SUM(J111:J115)</f>
        <v>0.14250000000000002</v>
      </c>
      <c r="K110" s="1">
        <f t="shared" ref="K110:V110" si="99">TRUNC(SUM(K111:K115),2)</f>
        <v>550.1</v>
      </c>
      <c r="L110" s="1">
        <f t="shared" si="99"/>
        <v>519.39</v>
      </c>
      <c r="M110" s="1">
        <f t="shared" si="99"/>
        <v>515.92999999999995</v>
      </c>
      <c r="N110" s="1">
        <f>TRUNC(SUM(N111:N115),2)</f>
        <v>559.35</v>
      </c>
      <c r="O110" s="1">
        <f>TRUNC(SUM(O111:O115),2)</f>
        <v>640.69000000000005</v>
      </c>
      <c r="P110" s="1">
        <f t="shared" si="99"/>
        <v>590.05999999999995</v>
      </c>
      <c r="Q110" s="1">
        <f t="shared" si="99"/>
        <v>559.35</v>
      </c>
      <c r="R110" s="1">
        <f t="shared" si="99"/>
        <v>640.69000000000005</v>
      </c>
      <c r="S110" s="1">
        <f t="shared" si="99"/>
        <v>567.01</v>
      </c>
      <c r="T110" s="1">
        <f>TRUNC(SUM(T111:T115),2)</f>
        <v>600.9</v>
      </c>
      <c r="U110" s="1">
        <f>TRUNC(SUM(U111:U115),2)</f>
        <v>658.99</v>
      </c>
      <c r="V110" s="1">
        <f t="shared" si="99"/>
        <v>822.47</v>
      </c>
      <c r="W110" s="1">
        <f t="shared" ref="W110:AB110" si="100">TRUNC(SUM(W111:W115),2)</f>
        <v>956.37</v>
      </c>
      <c r="X110" s="1">
        <f t="shared" si="100"/>
        <v>673.95</v>
      </c>
      <c r="Y110" s="1">
        <f t="shared" si="100"/>
        <v>515.92999999999995</v>
      </c>
      <c r="Z110" s="1">
        <f t="shared" si="100"/>
        <v>527.74</v>
      </c>
      <c r="AA110" s="1">
        <f t="shared" si="100"/>
        <v>498.49</v>
      </c>
      <c r="AB110" s="1">
        <f t="shared" si="100"/>
        <v>568.87</v>
      </c>
      <c r="AC110" s="48">
        <f t="shared" ref="AC110" si="101">TRUNC(SUM(AC111:AC115),2)</f>
        <v>529.20000000000005</v>
      </c>
    </row>
    <row r="111" spans="2:33">
      <c r="B111" s="15"/>
      <c r="C111" s="106"/>
      <c r="D111" s="185" t="s">
        <v>103</v>
      </c>
      <c r="E111" s="185"/>
      <c r="F111" s="185"/>
      <c r="G111" s="185"/>
      <c r="H111" s="185"/>
      <c r="I111" s="185"/>
      <c r="J111" s="3"/>
      <c r="K111" s="1">
        <v>0</v>
      </c>
      <c r="L111" s="1"/>
      <c r="M111" s="1"/>
      <c r="N111" s="1">
        <v>0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  <c r="T111" s="1">
        <v>0</v>
      </c>
      <c r="U111" s="1">
        <v>0</v>
      </c>
      <c r="V111" s="1">
        <v>0</v>
      </c>
      <c r="W111" s="1">
        <v>0</v>
      </c>
      <c r="X111" s="1">
        <v>0</v>
      </c>
      <c r="Y111" s="1">
        <v>0</v>
      </c>
      <c r="Z111" s="1">
        <v>0</v>
      </c>
      <c r="AA111" s="1">
        <v>0</v>
      </c>
      <c r="AB111" s="1">
        <v>0</v>
      </c>
      <c r="AC111" s="48">
        <v>0</v>
      </c>
    </row>
    <row r="112" spans="2:33">
      <c r="B112" s="15"/>
      <c r="C112" s="106"/>
      <c r="D112" s="185" t="s">
        <v>104</v>
      </c>
      <c r="E112" s="185"/>
      <c r="F112" s="185"/>
      <c r="G112" s="185"/>
      <c r="H112" s="185"/>
      <c r="I112" s="185"/>
      <c r="J112" s="3">
        <v>1.6500000000000001E-2</v>
      </c>
      <c r="K112" s="1">
        <f t="shared" ref="K112:AC112" si="102">TRUNC($J$112*K$127,3)</f>
        <v>63.695999999999998</v>
      </c>
      <c r="L112" s="1">
        <f t="shared" si="102"/>
        <v>60.14</v>
      </c>
      <c r="M112" s="1">
        <f t="shared" si="102"/>
        <v>59.738999999999997</v>
      </c>
      <c r="N112" s="1">
        <f t="shared" si="102"/>
        <v>64.766999999999996</v>
      </c>
      <c r="O112" s="1">
        <f t="shared" si="102"/>
        <v>74.185000000000002</v>
      </c>
      <c r="P112" s="1">
        <f t="shared" si="102"/>
        <v>68.322999999999993</v>
      </c>
      <c r="Q112" s="1">
        <f t="shared" si="102"/>
        <v>64.766999999999996</v>
      </c>
      <c r="R112" s="1">
        <f t="shared" si="102"/>
        <v>74.185000000000002</v>
      </c>
      <c r="S112" s="1">
        <f t="shared" si="102"/>
        <v>65.653999999999996</v>
      </c>
      <c r="T112" s="1">
        <f t="shared" si="102"/>
        <v>69.578000000000003</v>
      </c>
      <c r="U112" s="1">
        <f t="shared" si="102"/>
        <v>76.304000000000002</v>
      </c>
      <c r="V112" s="1">
        <f t="shared" si="102"/>
        <v>95.233000000000004</v>
      </c>
      <c r="W112" s="1">
        <f t="shared" si="102"/>
        <v>110.73699999999999</v>
      </c>
      <c r="X112" s="1">
        <f t="shared" si="102"/>
        <v>78.037000000000006</v>
      </c>
      <c r="Y112" s="1">
        <f t="shared" si="102"/>
        <v>59.738999999999997</v>
      </c>
      <c r="Z112" s="1">
        <f t="shared" si="102"/>
        <v>61.106999999999999</v>
      </c>
      <c r="AA112" s="1">
        <f t="shared" si="102"/>
        <v>57.72</v>
      </c>
      <c r="AB112" s="1">
        <f t="shared" si="102"/>
        <v>65.869</v>
      </c>
      <c r="AC112" s="48">
        <f t="shared" si="102"/>
        <v>61.276000000000003</v>
      </c>
    </row>
    <row r="113" spans="2:29">
      <c r="B113" s="15"/>
      <c r="C113" s="106"/>
      <c r="D113" s="185" t="s">
        <v>105</v>
      </c>
      <c r="E113" s="185"/>
      <c r="F113" s="185"/>
      <c r="G113" s="185"/>
      <c r="H113" s="185"/>
      <c r="I113" s="185"/>
      <c r="J113" s="18">
        <v>7.5999999999999998E-2</v>
      </c>
      <c r="K113" s="1">
        <f t="shared" ref="K113:AC113" si="103">TRUNC($J$113*K$127,3)</f>
        <v>293.39100000000002</v>
      </c>
      <c r="L113" s="1">
        <f t="shared" si="103"/>
        <v>277.01100000000002</v>
      </c>
      <c r="M113" s="1">
        <f t="shared" si="103"/>
        <v>275.16399999999999</v>
      </c>
      <c r="N113" s="1">
        <f t="shared" si="103"/>
        <v>298.32100000000003</v>
      </c>
      <c r="O113" s="1">
        <f t="shared" si="103"/>
        <v>341.702</v>
      </c>
      <c r="P113" s="1">
        <f t="shared" si="103"/>
        <v>314.70299999999997</v>
      </c>
      <c r="Q113" s="1">
        <f t="shared" si="103"/>
        <v>298.32100000000003</v>
      </c>
      <c r="R113" s="1">
        <f t="shared" si="103"/>
        <v>341.702</v>
      </c>
      <c r="S113" s="1">
        <f t="shared" si="103"/>
        <v>302.41000000000003</v>
      </c>
      <c r="T113" s="1">
        <f t="shared" si="103"/>
        <v>320.48099999999999</v>
      </c>
      <c r="U113" s="1">
        <f t="shared" si="103"/>
        <v>351.46300000000002</v>
      </c>
      <c r="V113" s="1">
        <f t="shared" si="103"/>
        <v>438.65300000000002</v>
      </c>
      <c r="W113" s="1">
        <f t="shared" si="103"/>
        <v>510.06400000000002</v>
      </c>
      <c r="X113" s="1">
        <f t="shared" si="103"/>
        <v>359.44299999999998</v>
      </c>
      <c r="Y113" s="1">
        <f t="shared" si="103"/>
        <v>275.16399999999999</v>
      </c>
      <c r="Z113" s="1">
        <f t="shared" si="103"/>
        <v>281.46199999999999</v>
      </c>
      <c r="AA113" s="1">
        <f t="shared" si="103"/>
        <v>265.863</v>
      </c>
      <c r="AB113" s="1">
        <f t="shared" si="103"/>
        <v>303.399</v>
      </c>
      <c r="AC113" s="48">
        <f t="shared" si="103"/>
        <v>282.24400000000003</v>
      </c>
    </row>
    <row r="114" spans="2:29" ht="15" customHeight="1">
      <c r="B114" s="15"/>
      <c r="C114" s="106"/>
      <c r="D114" s="185" t="s">
        <v>106</v>
      </c>
      <c r="E114" s="185"/>
      <c r="F114" s="185"/>
      <c r="G114" s="185"/>
      <c r="H114" s="185"/>
      <c r="I114" s="185"/>
      <c r="J114" s="18"/>
      <c r="K114" s="1">
        <v>0</v>
      </c>
      <c r="L114" s="1"/>
      <c r="M114" s="1"/>
      <c r="N114" s="1">
        <v>0</v>
      </c>
      <c r="O114" s="1">
        <v>0</v>
      </c>
      <c r="P114" s="1">
        <v>0</v>
      </c>
      <c r="Q114" s="1">
        <v>0</v>
      </c>
      <c r="R114" s="1">
        <v>0</v>
      </c>
      <c r="S114" s="1">
        <v>0</v>
      </c>
      <c r="T114" s="1">
        <v>0</v>
      </c>
      <c r="U114" s="1">
        <v>0</v>
      </c>
      <c r="V114" s="1">
        <v>0</v>
      </c>
      <c r="W114" s="1">
        <v>0</v>
      </c>
      <c r="X114" s="1">
        <v>0</v>
      </c>
      <c r="Y114" s="1">
        <v>0</v>
      </c>
      <c r="Z114" s="1">
        <v>0</v>
      </c>
      <c r="AA114" s="1">
        <v>0</v>
      </c>
      <c r="AB114" s="1">
        <v>0</v>
      </c>
      <c r="AC114" s="48">
        <v>0</v>
      </c>
    </row>
    <row r="115" spans="2:29">
      <c r="B115" s="15"/>
      <c r="C115" s="106"/>
      <c r="D115" s="185" t="s">
        <v>107</v>
      </c>
      <c r="E115" s="185"/>
      <c r="F115" s="185"/>
      <c r="G115" s="185"/>
      <c r="H115" s="185"/>
      <c r="I115" s="185"/>
      <c r="J115" s="3">
        <v>0.05</v>
      </c>
      <c r="K115" s="1">
        <f t="shared" ref="K115:AC115" si="104">TRUNC($J$115*K$127,3)</f>
        <v>193.02</v>
      </c>
      <c r="L115" s="1">
        <f t="shared" si="104"/>
        <v>182.244</v>
      </c>
      <c r="M115" s="1">
        <f t="shared" si="104"/>
        <v>181.029</v>
      </c>
      <c r="N115" s="1">
        <f t="shared" si="104"/>
        <v>196.26400000000001</v>
      </c>
      <c r="O115" s="1">
        <f t="shared" si="104"/>
        <v>224.804</v>
      </c>
      <c r="P115" s="1">
        <f t="shared" si="104"/>
        <v>207.041</v>
      </c>
      <c r="Q115" s="1">
        <f t="shared" si="104"/>
        <v>196.26400000000001</v>
      </c>
      <c r="R115" s="1">
        <f t="shared" si="104"/>
        <v>224.804</v>
      </c>
      <c r="S115" s="1">
        <f t="shared" si="104"/>
        <v>198.95400000000001</v>
      </c>
      <c r="T115" s="1">
        <f t="shared" si="104"/>
        <v>210.84299999999999</v>
      </c>
      <c r="U115" s="1">
        <f t="shared" si="104"/>
        <v>231.226</v>
      </c>
      <c r="V115" s="1">
        <f t="shared" si="104"/>
        <v>288.58699999999999</v>
      </c>
      <c r="W115" s="1">
        <f t="shared" si="104"/>
        <v>335.56900000000002</v>
      </c>
      <c r="X115" s="1">
        <f t="shared" si="104"/>
        <v>236.476</v>
      </c>
      <c r="Y115" s="1">
        <f t="shared" si="104"/>
        <v>181.029</v>
      </c>
      <c r="Z115" s="1">
        <f t="shared" si="104"/>
        <v>185.173</v>
      </c>
      <c r="AA115" s="1">
        <f t="shared" si="104"/>
        <v>174.91</v>
      </c>
      <c r="AB115" s="1">
        <f t="shared" si="104"/>
        <v>199.60499999999999</v>
      </c>
      <c r="AC115" s="48">
        <f t="shared" si="104"/>
        <v>185.68700000000001</v>
      </c>
    </row>
    <row r="116" spans="2:29" ht="15.75" thickBot="1">
      <c r="B116" s="15"/>
      <c r="C116" s="186" t="s">
        <v>108</v>
      </c>
      <c r="D116" s="187"/>
      <c r="E116" s="187"/>
      <c r="F116" s="187"/>
      <c r="G116" s="187"/>
      <c r="H116" s="187"/>
      <c r="I116" s="187"/>
      <c r="J116" s="35">
        <f>J108+J109+J110</f>
        <v>0.29250000000000004</v>
      </c>
      <c r="K116" s="36">
        <f t="shared" ref="K116:V116" si="105">SUM(K108:K110)</f>
        <v>994.33</v>
      </c>
      <c r="L116" s="36">
        <f t="shared" si="105"/>
        <v>938.81999999999994</v>
      </c>
      <c r="M116" s="36">
        <f t="shared" si="105"/>
        <v>932.56999999999994</v>
      </c>
      <c r="N116" s="36">
        <f>SUM(N108:N110)</f>
        <v>1011.0500000000001</v>
      </c>
      <c r="O116" s="36">
        <f>SUM(O108:O110)</f>
        <v>1158.08</v>
      </c>
      <c r="P116" s="36">
        <f t="shared" si="105"/>
        <v>1066.56</v>
      </c>
      <c r="Q116" s="36">
        <f t="shared" si="105"/>
        <v>1011.0500000000001</v>
      </c>
      <c r="R116" s="36">
        <f t="shared" si="105"/>
        <v>1158.08</v>
      </c>
      <c r="S116" s="36">
        <f t="shared" si="105"/>
        <v>1024.8899999999999</v>
      </c>
      <c r="T116" s="36">
        <f>SUM(T108:T110)</f>
        <v>1086.1500000000001</v>
      </c>
      <c r="U116" s="36">
        <f>SUM(U108:U110)</f>
        <v>1191.1500000000001</v>
      </c>
      <c r="V116" s="36">
        <f t="shared" si="105"/>
        <v>1486.65</v>
      </c>
      <c r="W116" s="36">
        <f t="shared" ref="W116:AB116" si="106">SUM(W108:W110)</f>
        <v>1728.6799999999998</v>
      </c>
      <c r="X116" s="36">
        <f t="shared" si="106"/>
        <v>1218.19</v>
      </c>
      <c r="Y116" s="36">
        <f t="shared" si="106"/>
        <v>932.56999999999994</v>
      </c>
      <c r="Z116" s="36">
        <f t="shared" si="106"/>
        <v>953.91</v>
      </c>
      <c r="AA116" s="36">
        <f t="shared" si="106"/>
        <v>901.04</v>
      </c>
      <c r="AB116" s="36">
        <f t="shared" si="106"/>
        <v>1028.26</v>
      </c>
      <c r="AC116" s="49">
        <f t="shared" ref="AC116" si="107">SUM(AC108:AC110)</f>
        <v>956.55000000000007</v>
      </c>
    </row>
    <row r="117" spans="2:29" ht="15" customHeight="1" thickTop="1" thickBot="1">
      <c r="B117" s="15"/>
      <c r="C117" s="198"/>
      <c r="D117" s="198"/>
      <c r="E117" s="198"/>
      <c r="F117" s="198"/>
      <c r="G117" s="198"/>
      <c r="H117" s="198"/>
      <c r="I117" s="198"/>
      <c r="J117" s="198"/>
      <c r="K117" s="198"/>
      <c r="L117" s="198"/>
      <c r="M117" s="198"/>
      <c r="N117" s="198"/>
      <c r="O117" s="198"/>
      <c r="P117" s="198"/>
      <c r="Q117" s="198"/>
      <c r="R117" s="198"/>
      <c r="S117" s="198"/>
      <c r="T117" s="198"/>
      <c r="U117" s="198"/>
      <c r="V117" s="198"/>
      <c r="W117" s="198"/>
      <c r="X117" s="198"/>
      <c r="Y117" s="198"/>
      <c r="Z117" s="198"/>
      <c r="AA117" s="198"/>
    </row>
    <row r="118" spans="2:29" ht="15.75" customHeight="1" thickTop="1">
      <c r="B118" s="15"/>
      <c r="C118" s="169" t="s">
        <v>109</v>
      </c>
      <c r="D118" s="170"/>
      <c r="E118" s="170"/>
      <c r="F118" s="170"/>
      <c r="G118" s="170"/>
      <c r="H118" s="170"/>
      <c r="I118" s="170"/>
      <c r="J118" s="170"/>
      <c r="K118" s="170"/>
      <c r="L118" s="170"/>
      <c r="M118" s="170"/>
      <c r="N118" s="170"/>
      <c r="O118" s="170"/>
      <c r="P118" s="170"/>
      <c r="Q118" s="170"/>
      <c r="R118" s="170"/>
      <c r="S118" s="170"/>
      <c r="T118" s="170"/>
      <c r="U118" s="170"/>
      <c r="V118" s="170"/>
      <c r="W118" s="170"/>
      <c r="X118" s="170"/>
      <c r="Y118" s="170"/>
      <c r="Z118" s="170"/>
      <c r="AA118" s="170"/>
      <c r="AB118" s="170"/>
      <c r="AC118" s="171"/>
    </row>
    <row r="119" spans="2:29" ht="24.95" customHeight="1">
      <c r="B119" s="15"/>
      <c r="C119" s="183" t="s">
        <v>110</v>
      </c>
      <c r="D119" s="184"/>
      <c r="E119" s="184"/>
      <c r="F119" s="184"/>
      <c r="G119" s="184"/>
      <c r="H119" s="184"/>
      <c r="I119" s="184"/>
      <c r="J119" s="184"/>
      <c r="K119" s="156" t="s">
        <v>111</v>
      </c>
      <c r="L119" s="156"/>
      <c r="M119" s="156"/>
      <c r="N119" s="156" t="s">
        <v>111</v>
      </c>
      <c r="O119" s="156" t="s">
        <v>111</v>
      </c>
      <c r="P119" s="156" t="s">
        <v>111</v>
      </c>
      <c r="Q119" s="156" t="s">
        <v>111</v>
      </c>
      <c r="R119" s="156" t="s">
        <v>111</v>
      </c>
      <c r="S119" s="156" t="s">
        <v>111</v>
      </c>
      <c r="T119" s="156" t="s">
        <v>111</v>
      </c>
      <c r="U119" s="156" t="s">
        <v>111</v>
      </c>
      <c r="V119" s="156" t="s">
        <v>111</v>
      </c>
      <c r="W119" s="156" t="s">
        <v>111</v>
      </c>
      <c r="X119" s="156" t="s">
        <v>111</v>
      </c>
      <c r="Y119" s="156" t="s">
        <v>111</v>
      </c>
      <c r="Z119" s="156" t="s">
        <v>111</v>
      </c>
      <c r="AA119" s="156" t="s">
        <v>111</v>
      </c>
      <c r="AB119" s="156" t="s">
        <v>111</v>
      </c>
      <c r="AC119" s="104" t="s">
        <v>111</v>
      </c>
    </row>
    <row r="120" spans="2:29" ht="15" customHeight="1">
      <c r="B120" s="15"/>
      <c r="C120" s="106" t="s">
        <v>21</v>
      </c>
      <c r="D120" s="185" t="s">
        <v>112</v>
      </c>
      <c r="E120" s="185"/>
      <c r="F120" s="185"/>
      <c r="G120" s="185"/>
      <c r="H120" s="185"/>
      <c r="I120" s="185"/>
      <c r="J120" s="185"/>
      <c r="K120" s="1">
        <f>K29</f>
        <v>1212.02</v>
      </c>
      <c r="L120" s="1">
        <f t="shared" ref="L120:M120" si="108">L29</f>
        <v>1212.02</v>
      </c>
      <c r="M120" s="1">
        <f t="shared" si="108"/>
        <v>1111.77</v>
      </c>
      <c r="N120" s="1">
        <f>N29</f>
        <v>1329.22</v>
      </c>
      <c r="O120" s="1">
        <f>O29</f>
        <v>1564.8400000000001</v>
      </c>
      <c r="P120" s="1">
        <f t="shared" ref="P120:V120" si="109">P29</f>
        <v>1329.22</v>
      </c>
      <c r="Q120" s="1">
        <f t="shared" si="109"/>
        <v>1329.22</v>
      </c>
      <c r="R120" s="1">
        <f t="shared" si="109"/>
        <v>1564.8400000000001</v>
      </c>
      <c r="S120" s="1">
        <f t="shared" si="109"/>
        <v>1186.55</v>
      </c>
      <c r="T120" s="1">
        <f>T29</f>
        <v>1284.6999999999998</v>
      </c>
      <c r="U120" s="1">
        <f>U29</f>
        <v>1452.98</v>
      </c>
      <c r="V120" s="1">
        <f t="shared" si="109"/>
        <v>2188</v>
      </c>
      <c r="W120" s="1">
        <f t="shared" ref="W120:AB120" si="110">W29</f>
        <v>2575.87</v>
      </c>
      <c r="X120" s="1">
        <f t="shared" si="110"/>
        <v>1111.77</v>
      </c>
      <c r="Y120" s="1">
        <f t="shared" si="110"/>
        <v>1111.77</v>
      </c>
      <c r="Z120" s="1">
        <f t="shared" si="110"/>
        <v>1111.77</v>
      </c>
      <c r="AA120" s="1">
        <f t="shared" si="110"/>
        <v>1150.1400000000001</v>
      </c>
      <c r="AB120" s="1">
        <f t="shared" si="110"/>
        <v>1354.0100000000002</v>
      </c>
      <c r="AC120" s="48">
        <f t="shared" ref="AC120" si="111">AC29</f>
        <v>1150.1400000000001</v>
      </c>
    </row>
    <row r="121" spans="2:29" ht="15" customHeight="1">
      <c r="B121" s="15"/>
      <c r="C121" s="106" t="s">
        <v>23</v>
      </c>
      <c r="D121" s="185" t="s">
        <v>113</v>
      </c>
      <c r="E121" s="185"/>
      <c r="F121" s="185"/>
      <c r="G121" s="185"/>
      <c r="H121" s="185"/>
      <c r="I121" s="185"/>
      <c r="J121" s="185"/>
      <c r="K121" s="1">
        <f t="shared" ref="K121:V121" si="112">K65</f>
        <v>1463.6</v>
      </c>
      <c r="L121" s="1">
        <f t="shared" si="112"/>
        <v>1305.1999999999998</v>
      </c>
      <c r="M121" s="1">
        <f t="shared" si="112"/>
        <v>1397.2600000000002</v>
      </c>
      <c r="N121" s="1">
        <f>N65</f>
        <v>1382.75</v>
      </c>
      <c r="O121" s="1">
        <f>O65</f>
        <v>1543.82</v>
      </c>
      <c r="P121" s="1">
        <f t="shared" si="112"/>
        <v>1541.15</v>
      </c>
      <c r="Q121" s="1">
        <f t="shared" si="112"/>
        <v>1382.75</v>
      </c>
      <c r="R121" s="1">
        <f t="shared" si="112"/>
        <v>1543.82</v>
      </c>
      <c r="S121" s="1">
        <f t="shared" si="112"/>
        <v>1578.7200000000003</v>
      </c>
      <c r="T121" s="1">
        <f>T65</f>
        <v>1645.8300000000002</v>
      </c>
      <c r="U121" s="1">
        <f>U65</f>
        <v>1760.88</v>
      </c>
      <c r="V121" s="1">
        <f t="shared" si="112"/>
        <v>1780.8000000000002</v>
      </c>
      <c r="W121" s="1">
        <f t="shared" ref="W121:AB121" si="113">W65</f>
        <v>2045.98</v>
      </c>
      <c r="X121" s="1">
        <f t="shared" si="113"/>
        <v>1397.2600000000002</v>
      </c>
      <c r="Y121" s="1">
        <f t="shared" si="113"/>
        <v>1397.2600000000002</v>
      </c>
      <c r="Z121" s="1">
        <f t="shared" si="113"/>
        <v>1397.2600000000002</v>
      </c>
      <c r="AA121" s="1">
        <f t="shared" si="113"/>
        <v>1265.26</v>
      </c>
      <c r="AB121" s="1">
        <f t="shared" si="113"/>
        <v>1404.65</v>
      </c>
      <c r="AC121" s="48">
        <f t="shared" ref="AC121" si="114">AC65</f>
        <v>1423.66</v>
      </c>
    </row>
    <row r="122" spans="2:29" ht="15" customHeight="1">
      <c r="B122" s="15"/>
      <c r="C122" s="106" t="s">
        <v>24</v>
      </c>
      <c r="D122" s="185" t="s">
        <v>114</v>
      </c>
      <c r="E122" s="185"/>
      <c r="F122" s="185"/>
      <c r="G122" s="185"/>
      <c r="H122" s="185"/>
      <c r="I122" s="185"/>
      <c r="J122" s="185"/>
      <c r="K122" s="1">
        <f t="shared" ref="K122:V122" si="115">K74</f>
        <v>86.859999999999985</v>
      </c>
      <c r="L122" s="1">
        <f t="shared" si="115"/>
        <v>86.859999999999985</v>
      </c>
      <c r="M122" s="1">
        <f t="shared" si="115"/>
        <v>79.680000000000007</v>
      </c>
      <c r="N122" s="1">
        <f>N74</f>
        <v>95.25</v>
      </c>
      <c r="O122" s="1">
        <f>O74</f>
        <v>112.15</v>
      </c>
      <c r="P122" s="1">
        <f t="shared" si="115"/>
        <v>95.25</v>
      </c>
      <c r="Q122" s="1">
        <f t="shared" si="115"/>
        <v>95.25</v>
      </c>
      <c r="R122" s="1">
        <f t="shared" si="115"/>
        <v>112.15</v>
      </c>
      <c r="S122" s="1">
        <f t="shared" si="115"/>
        <v>85.039999999999992</v>
      </c>
      <c r="T122" s="1">
        <f>T74</f>
        <v>92.07</v>
      </c>
      <c r="U122" s="1">
        <f>U74</f>
        <v>104.13</v>
      </c>
      <c r="V122" s="1">
        <f t="shared" si="115"/>
        <v>156.82</v>
      </c>
      <c r="W122" s="1">
        <f t="shared" ref="W122:AB122" si="116">W74</f>
        <v>184.62</v>
      </c>
      <c r="X122" s="1">
        <f t="shared" si="116"/>
        <v>79.680000000000007</v>
      </c>
      <c r="Y122" s="1">
        <f t="shared" si="116"/>
        <v>79.680000000000007</v>
      </c>
      <c r="Z122" s="1">
        <f t="shared" si="116"/>
        <v>79.680000000000007</v>
      </c>
      <c r="AA122" s="1">
        <f t="shared" si="116"/>
        <v>82.42</v>
      </c>
      <c r="AB122" s="1">
        <f t="shared" si="116"/>
        <v>97.039999999999992</v>
      </c>
      <c r="AC122" s="48">
        <f t="shared" ref="AC122" si="117">AC74</f>
        <v>82.42</v>
      </c>
    </row>
    <row r="123" spans="2:29" ht="15" customHeight="1">
      <c r="B123" s="15"/>
      <c r="C123" s="106" t="s">
        <v>25</v>
      </c>
      <c r="D123" s="185" t="s">
        <v>115</v>
      </c>
      <c r="E123" s="185"/>
      <c r="F123" s="185"/>
      <c r="G123" s="185"/>
      <c r="H123" s="185"/>
      <c r="I123" s="185"/>
      <c r="J123" s="185"/>
      <c r="K123" s="1">
        <f t="shared" ref="K123:V123" si="118">K96</f>
        <v>58.81</v>
      </c>
      <c r="L123" s="1">
        <f t="shared" si="118"/>
        <v>57.199999999999996</v>
      </c>
      <c r="M123" s="1">
        <f t="shared" si="118"/>
        <v>54.519999999999996</v>
      </c>
      <c r="N123" s="1">
        <f>N96</f>
        <v>62.22</v>
      </c>
      <c r="O123" s="1">
        <f>O96</f>
        <v>72.399999999999991</v>
      </c>
      <c r="P123" s="1">
        <f t="shared" si="118"/>
        <v>63.86</v>
      </c>
      <c r="Q123" s="1">
        <f t="shared" si="118"/>
        <v>62.22</v>
      </c>
      <c r="R123" s="1">
        <f t="shared" si="118"/>
        <v>72.399999999999991</v>
      </c>
      <c r="S123" s="1">
        <f t="shared" si="118"/>
        <v>59.09</v>
      </c>
      <c r="T123" s="1">
        <f>T96</f>
        <v>63.32</v>
      </c>
      <c r="U123" s="1">
        <f>U96</f>
        <v>70.59</v>
      </c>
      <c r="V123" s="1">
        <f t="shared" si="118"/>
        <v>97.37</v>
      </c>
      <c r="W123" s="1">
        <f t="shared" ref="W123:AB123" si="119">W96</f>
        <v>114.12</v>
      </c>
      <c r="X123" s="1">
        <f t="shared" si="119"/>
        <v>54.519999999999996</v>
      </c>
      <c r="Y123" s="1">
        <f t="shared" si="119"/>
        <v>54.519999999999996</v>
      </c>
      <c r="Z123" s="1">
        <f t="shared" si="119"/>
        <v>54.519999999999996</v>
      </c>
      <c r="AA123" s="1">
        <f t="shared" si="119"/>
        <v>54.55</v>
      </c>
      <c r="AB123" s="1">
        <f t="shared" si="119"/>
        <v>63.35</v>
      </c>
      <c r="AC123" s="48">
        <f t="shared" ref="AC123" si="120">AC96</f>
        <v>56.18</v>
      </c>
    </row>
    <row r="124" spans="2:29" ht="15" customHeight="1">
      <c r="B124" s="15"/>
      <c r="C124" s="106" t="s">
        <v>26</v>
      </c>
      <c r="D124" s="185" t="s">
        <v>116</v>
      </c>
      <c r="E124" s="185"/>
      <c r="F124" s="185"/>
      <c r="G124" s="185"/>
      <c r="H124" s="185"/>
      <c r="I124" s="185"/>
      <c r="J124" s="185"/>
      <c r="K124" s="1">
        <f t="shared" ref="K124:V124" si="121">K104</f>
        <v>44.79666666666666</v>
      </c>
      <c r="L124" s="1">
        <f t="shared" si="121"/>
        <v>44.79666666666666</v>
      </c>
      <c r="M124" s="1">
        <f t="shared" si="121"/>
        <v>44.79666666666666</v>
      </c>
      <c r="N124" s="1">
        <f>N104</f>
        <v>44.79666666666666</v>
      </c>
      <c r="O124" s="1">
        <f>O104</f>
        <v>44.79666666666666</v>
      </c>
      <c r="P124" s="1">
        <f t="shared" si="121"/>
        <v>44.79666666666666</v>
      </c>
      <c r="Q124" s="1">
        <f t="shared" si="121"/>
        <v>44.79666666666666</v>
      </c>
      <c r="R124" s="1">
        <f t="shared" si="121"/>
        <v>44.79666666666666</v>
      </c>
      <c r="S124" s="1">
        <f t="shared" si="121"/>
        <v>44.79666666666666</v>
      </c>
      <c r="T124" s="1">
        <f>T104</f>
        <v>44.79666666666666</v>
      </c>
      <c r="U124" s="1">
        <f>U104</f>
        <v>44.79666666666666</v>
      </c>
      <c r="V124" s="1">
        <f t="shared" si="121"/>
        <v>62.112916666666671</v>
      </c>
      <c r="W124" s="1">
        <f t="shared" ref="W124:AB124" si="122">W104</f>
        <v>62.112916666666671</v>
      </c>
      <c r="X124" s="1">
        <f t="shared" si="122"/>
        <v>868.10124999999994</v>
      </c>
      <c r="Y124" s="1">
        <f t="shared" si="122"/>
        <v>44.79666666666666</v>
      </c>
      <c r="Z124" s="1">
        <f t="shared" si="122"/>
        <v>106.32499999999999</v>
      </c>
      <c r="AA124" s="1">
        <f t="shared" si="122"/>
        <v>44.79666666666666</v>
      </c>
      <c r="AB124" s="1">
        <f t="shared" si="122"/>
        <v>44.79666666666666</v>
      </c>
      <c r="AC124" s="48">
        <f t="shared" ref="AC124" si="123">AC104</f>
        <v>44.79666666666666</v>
      </c>
    </row>
    <row r="125" spans="2:29" ht="15" customHeight="1">
      <c r="B125" s="15"/>
      <c r="C125" s="183" t="s">
        <v>117</v>
      </c>
      <c r="D125" s="184"/>
      <c r="E125" s="184"/>
      <c r="F125" s="184"/>
      <c r="G125" s="184"/>
      <c r="H125" s="184"/>
      <c r="I125" s="184"/>
      <c r="J125" s="184"/>
      <c r="K125" s="2">
        <f t="shared" ref="K125:V125" si="124">TRUNC(SUM(K120:K124),2)</f>
        <v>2866.08</v>
      </c>
      <c r="L125" s="2">
        <f t="shared" si="124"/>
        <v>2706.07</v>
      </c>
      <c r="M125" s="2">
        <f t="shared" si="124"/>
        <v>2688.02</v>
      </c>
      <c r="N125" s="2">
        <f>TRUNC(SUM(N120:N124),2)</f>
        <v>2914.23</v>
      </c>
      <c r="O125" s="2">
        <f>TRUNC(SUM(O120:O124),2)</f>
        <v>3338</v>
      </c>
      <c r="P125" s="2">
        <f t="shared" si="124"/>
        <v>3074.27</v>
      </c>
      <c r="Q125" s="2">
        <f t="shared" si="124"/>
        <v>2914.23</v>
      </c>
      <c r="R125" s="2">
        <f t="shared" si="124"/>
        <v>3338</v>
      </c>
      <c r="S125" s="2">
        <f t="shared" si="124"/>
        <v>2954.19</v>
      </c>
      <c r="T125" s="2">
        <f>TRUNC(SUM(T120:T124),2)</f>
        <v>3130.71</v>
      </c>
      <c r="U125" s="2">
        <f>TRUNC(SUM(U120:U124),2)</f>
        <v>3433.37</v>
      </c>
      <c r="V125" s="2">
        <f t="shared" si="124"/>
        <v>4285.1000000000004</v>
      </c>
      <c r="W125" s="2">
        <f t="shared" ref="W125:AB125" si="125">TRUNC(SUM(W120:W124),2)</f>
        <v>4982.7</v>
      </c>
      <c r="X125" s="2">
        <f t="shared" si="125"/>
        <v>3511.33</v>
      </c>
      <c r="Y125" s="2">
        <f t="shared" si="125"/>
        <v>2688.02</v>
      </c>
      <c r="Z125" s="2">
        <f t="shared" si="125"/>
        <v>2749.55</v>
      </c>
      <c r="AA125" s="2">
        <f t="shared" si="125"/>
        <v>2597.16</v>
      </c>
      <c r="AB125" s="2">
        <f t="shared" si="125"/>
        <v>2963.84</v>
      </c>
      <c r="AC125" s="47">
        <f t="shared" ref="AC125" si="126">TRUNC(SUM(AC120:AC124),2)</f>
        <v>2757.19</v>
      </c>
    </row>
    <row r="126" spans="2:29" ht="15" customHeight="1">
      <c r="B126" s="15"/>
      <c r="C126" s="106" t="s">
        <v>28</v>
      </c>
      <c r="D126" s="185" t="s">
        <v>118</v>
      </c>
      <c r="E126" s="185"/>
      <c r="F126" s="185"/>
      <c r="G126" s="185"/>
      <c r="H126" s="185"/>
      <c r="I126" s="185"/>
      <c r="J126" s="185"/>
      <c r="K126" s="1">
        <f t="shared" ref="K126:V126" si="127">K116</f>
        <v>994.33</v>
      </c>
      <c r="L126" s="1">
        <f t="shared" si="127"/>
        <v>938.81999999999994</v>
      </c>
      <c r="M126" s="1">
        <f t="shared" si="127"/>
        <v>932.56999999999994</v>
      </c>
      <c r="N126" s="1">
        <f>N116</f>
        <v>1011.0500000000001</v>
      </c>
      <c r="O126" s="1">
        <f>O116</f>
        <v>1158.08</v>
      </c>
      <c r="P126" s="1">
        <f t="shared" si="127"/>
        <v>1066.56</v>
      </c>
      <c r="Q126" s="1">
        <f t="shared" si="127"/>
        <v>1011.0500000000001</v>
      </c>
      <c r="R126" s="1">
        <f t="shared" si="127"/>
        <v>1158.08</v>
      </c>
      <c r="S126" s="1">
        <f t="shared" si="127"/>
        <v>1024.8899999999999</v>
      </c>
      <c r="T126" s="1">
        <f>T116</f>
        <v>1086.1500000000001</v>
      </c>
      <c r="U126" s="1">
        <f>U116</f>
        <v>1191.1500000000001</v>
      </c>
      <c r="V126" s="1">
        <f t="shared" si="127"/>
        <v>1486.65</v>
      </c>
      <c r="W126" s="1">
        <f t="shared" ref="W126:AB126" si="128">W116</f>
        <v>1728.6799999999998</v>
      </c>
      <c r="X126" s="1">
        <f t="shared" si="128"/>
        <v>1218.19</v>
      </c>
      <c r="Y126" s="1">
        <f t="shared" si="128"/>
        <v>932.56999999999994</v>
      </c>
      <c r="Z126" s="1">
        <f t="shared" si="128"/>
        <v>953.91</v>
      </c>
      <c r="AA126" s="1">
        <f t="shared" si="128"/>
        <v>901.04</v>
      </c>
      <c r="AB126" s="1">
        <f t="shared" si="128"/>
        <v>1028.26</v>
      </c>
      <c r="AC126" s="48">
        <f t="shared" ref="AC126" si="129">AC116</f>
        <v>956.55000000000007</v>
      </c>
    </row>
    <row r="127" spans="2:29" ht="15.75" thickBot="1">
      <c r="B127" s="15"/>
      <c r="C127" s="186" t="s">
        <v>119</v>
      </c>
      <c r="D127" s="187"/>
      <c r="E127" s="187"/>
      <c r="F127" s="187"/>
      <c r="G127" s="187"/>
      <c r="H127" s="187"/>
      <c r="I127" s="187"/>
      <c r="J127" s="187"/>
      <c r="K127" s="36">
        <f t="shared" ref="K127:AC127" si="130">TRUNC((K$125+K$108+K$109)/((1-$J$110)/1),2)</f>
        <v>3860.41</v>
      </c>
      <c r="L127" s="36">
        <f t="shared" si="130"/>
        <v>3644.89</v>
      </c>
      <c r="M127" s="36">
        <f t="shared" si="130"/>
        <v>3620.59</v>
      </c>
      <c r="N127" s="36">
        <f t="shared" si="130"/>
        <v>3925.28</v>
      </c>
      <c r="O127" s="36">
        <f t="shared" si="130"/>
        <v>4496.08</v>
      </c>
      <c r="P127" s="36">
        <f t="shared" si="130"/>
        <v>4140.83</v>
      </c>
      <c r="Q127" s="36">
        <f t="shared" si="130"/>
        <v>3925.28</v>
      </c>
      <c r="R127" s="36">
        <f t="shared" si="130"/>
        <v>4496.08</v>
      </c>
      <c r="S127" s="36">
        <f t="shared" si="130"/>
        <v>3979.09</v>
      </c>
      <c r="T127" s="36">
        <f t="shared" si="130"/>
        <v>4216.8599999999997</v>
      </c>
      <c r="U127" s="36">
        <f t="shared" si="130"/>
        <v>4624.5200000000004</v>
      </c>
      <c r="V127" s="36">
        <f t="shared" si="130"/>
        <v>5771.75</v>
      </c>
      <c r="W127" s="36">
        <f t="shared" si="130"/>
        <v>6711.38</v>
      </c>
      <c r="X127" s="36">
        <f t="shared" si="130"/>
        <v>4729.5200000000004</v>
      </c>
      <c r="Y127" s="36">
        <f t="shared" si="130"/>
        <v>3620.59</v>
      </c>
      <c r="Z127" s="36">
        <f t="shared" si="130"/>
        <v>3703.46</v>
      </c>
      <c r="AA127" s="36">
        <f t="shared" si="130"/>
        <v>3498.2</v>
      </c>
      <c r="AB127" s="36">
        <f t="shared" si="130"/>
        <v>3992.1</v>
      </c>
      <c r="AC127" s="49">
        <f t="shared" si="130"/>
        <v>3713.74</v>
      </c>
    </row>
    <row r="128" spans="2:29" ht="15" customHeight="1" thickTop="1">
      <c r="B128" s="15"/>
      <c r="C128" s="21"/>
      <c r="D128" s="21"/>
      <c r="E128" s="21"/>
      <c r="F128" s="21"/>
      <c r="G128" s="21"/>
      <c r="H128" s="21"/>
      <c r="I128" s="21"/>
      <c r="J128" s="21"/>
      <c r="K128" s="26"/>
      <c r="L128" s="26"/>
      <c r="M128" s="26"/>
      <c r="N128" s="26"/>
      <c r="O128" s="26"/>
      <c r="P128" s="6"/>
      <c r="Q128" s="27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</row>
    <row r="129" spans="2:29">
      <c r="B129" s="15"/>
      <c r="C129" s="21"/>
      <c r="D129" s="21"/>
      <c r="E129" s="21"/>
      <c r="F129" s="21"/>
      <c r="G129" s="21"/>
      <c r="H129" s="21"/>
      <c r="I129" s="21"/>
      <c r="J129" s="21"/>
      <c r="K129" s="26"/>
      <c r="L129" s="26"/>
      <c r="M129" s="26"/>
      <c r="N129" s="26"/>
      <c r="O129" s="26"/>
      <c r="P129" s="6"/>
      <c r="Q129" s="27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</row>
    <row r="130" spans="2:29">
      <c r="B130" s="6"/>
      <c r="K130" s="23"/>
      <c r="L130" s="23"/>
      <c r="M130" s="23"/>
      <c r="N130" s="23"/>
      <c r="O130" s="23"/>
      <c r="P130" s="23"/>
    </row>
    <row r="131" spans="2:29">
      <c r="E131" s="19"/>
      <c r="K131" s="22"/>
      <c r="L131" s="22"/>
      <c r="M131" s="22"/>
      <c r="N131" s="22"/>
      <c r="O131" s="22"/>
    </row>
    <row r="132" spans="2:29">
      <c r="K132" s="25"/>
      <c r="L132" s="25"/>
      <c r="M132" s="25"/>
      <c r="N132" s="25"/>
      <c r="O132" s="25"/>
    </row>
    <row r="133" spans="2:29">
      <c r="G133" s="19"/>
    </row>
    <row r="134" spans="2:29">
      <c r="H134" s="24"/>
    </row>
  </sheetData>
  <sheetProtection selectLockedCells="1" selectUnlockedCells="1"/>
  <mergeCells count="125">
    <mergeCell ref="D100:J100"/>
    <mergeCell ref="D101:J101"/>
    <mergeCell ref="D72:I72"/>
    <mergeCell ref="C65:J65"/>
    <mergeCell ref="D40:I40"/>
    <mergeCell ref="D54:J54"/>
    <mergeCell ref="C58:J58"/>
    <mergeCell ref="D46:I46"/>
    <mergeCell ref="D42:I42"/>
    <mergeCell ref="D43:I43"/>
    <mergeCell ref="D56:J56"/>
    <mergeCell ref="D45:I45"/>
    <mergeCell ref="C51:J51"/>
    <mergeCell ref="D57:J57"/>
    <mergeCell ref="C61:J61"/>
    <mergeCell ref="D62:J62"/>
    <mergeCell ref="D70:I70"/>
    <mergeCell ref="D69:I69"/>
    <mergeCell ref="D63:J63"/>
    <mergeCell ref="D120:J120"/>
    <mergeCell ref="D124:J124"/>
    <mergeCell ref="C119:J119"/>
    <mergeCell ref="C104:J104"/>
    <mergeCell ref="D110:I110"/>
    <mergeCell ref="D123:J123"/>
    <mergeCell ref="D121:J121"/>
    <mergeCell ref="C116:I116"/>
    <mergeCell ref="C117:AA117"/>
    <mergeCell ref="C105:AA105"/>
    <mergeCell ref="D20:J20"/>
    <mergeCell ref="D53:H53"/>
    <mergeCell ref="D34:I34"/>
    <mergeCell ref="D82:I82"/>
    <mergeCell ref="C74:I74"/>
    <mergeCell ref="C127:J127"/>
    <mergeCell ref="D126:J126"/>
    <mergeCell ref="D113:I113"/>
    <mergeCell ref="D79:I79"/>
    <mergeCell ref="C78:I78"/>
    <mergeCell ref="C96:J96"/>
    <mergeCell ref="C107:I107"/>
    <mergeCell ref="C125:J125"/>
    <mergeCell ref="D108:I108"/>
    <mergeCell ref="D84:I84"/>
    <mergeCell ref="D109:I109"/>
    <mergeCell ref="C90:I90"/>
    <mergeCell ref="D122:J122"/>
    <mergeCell ref="C99:J99"/>
    <mergeCell ref="D103:J103"/>
    <mergeCell ref="D112:I112"/>
    <mergeCell ref="D114:I114"/>
    <mergeCell ref="D115:I115"/>
    <mergeCell ref="D111:I111"/>
    <mergeCell ref="D64:J64"/>
    <mergeCell ref="C68:I68"/>
    <mergeCell ref="C97:AA97"/>
    <mergeCell ref="C36:I36"/>
    <mergeCell ref="C13:D13"/>
    <mergeCell ref="E13:G13"/>
    <mergeCell ref="D15:J15"/>
    <mergeCell ref="C106:AC106"/>
    <mergeCell ref="C4:R4"/>
    <mergeCell ref="D83:I83"/>
    <mergeCell ref="D71:I71"/>
    <mergeCell ref="C12:R12"/>
    <mergeCell ref="D24:I24"/>
    <mergeCell ref="D25:I25"/>
    <mergeCell ref="H13:I13"/>
    <mergeCell ref="J13:K13"/>
    <mergeCell ref="C48:I48"/>
    <mergeCell ref="D44:I44"/>
    <mergeCell ref="D55:J55"/>
    <mergeCell ref="D41:I41"/>
    <mergeCell ref="C39:I39"/>
    <mergeCell ref="D27:I27"/>
    <mergeCell ref="C23:I23"/>
    <mergeCell ref="D28:I28"/>
    <mergeCell ref="C118:AC118"/>
    <mergeCell ref="C49:AC49"/>
    <mergeCell ref="C67:AC67"/>
    <mergeCell ref="C59:AC59"/>
    <mergeCell ref="C60:AC60"/>
    <mergeCell ref="C76:AC76"/>
    <mergeCell ref="C77:AC77"/>
    <mergeCell ref="C86:AC86"/>
    <mergeCell ref="C87:AC87"/>
    <mergeCell ref="C92:AC92"/>
    <mergeCell ref="C98:AC98"/>
    <mergeCell ref="C91:AA91"/>
    <mergeCell ref="D102:J102"/>
    <mergeCell ref="D80:I80"/>
    <mergeCell ref="C75:Y75"/>
    <mergeCell ref="C85:I85"/>
    <mergeCell ref="D94:J94"/>
    <mergeCell ref="C88:I88"/>
    <mergeCell ref="D95:J95"/>
    <mergeCell ref="D89:I89"/>
    <mergeCell ref="C93:J93"/>
    <mergeCell ref="D81:I81"/>
    <mergeCell ref="D52:H52"/>
    <mergeCell ref="D73:I73"/>
    <mergeCell ref="C5:AC5"/>
    <mergeCell ref="C6:AC6"/>
    <mergeCell ref="C7:AC7"/>
    <mergeCell ref="C8:AC8"/>
    <mergeCell ref="C9:AC9"/>
    <mergeCell ref="C22:AC22"/>
    <mergeCell ref="C31:AC31"/>
    <mergeCell ref="C38:AC38"/>
    <mergeCell ref="C50:AC50"/>
    <mergeCell ref="C11:AC11"/>
    <mergeCell ref="N13:AC13"/>
    <mergeCell ref="C32:V32"/>
    <mergeCell ref="D35:I35"/>
    <mergeCell ref="C33:I33"/>
    <mergeCell ref="D16:J16"/>
    <mergeCell ref="D17:J17"/>
    <mergeCell ref="D18:J18"/>
    <mergeCell ref="C29:J29"/>
    <mergeCell ref="E10:T10"/>
    <mergeCell ref="C37:AA37"/>
    <mergeCell ref="D47:I47"/>
    <mergeCell ref="D26:I26"/>
    <mergeCell ref="C30:K30"/>
    <mergeCell ref="D19:J19"/>
  </mergeCells>
  <phoneticPr fontId="11" type="noConversion"/>
  <pageMargins left="1.1811023622047245" right="1.1811023622047245" top="0.86614173228346458" bottom="0.86614173228346458" header="0.78740157480314965" footer="0.78740157480314965"/>
  <pageSetup paperSize="9" scale="19" firstPageNumber="0" orientation="landscape" horizontalDpi="4294967294" verticalDpi="4294967294" r:id="rId1"/>
  <headerFooter alignWithMargins="0">
    <oddHeader>&amp;C&amp;"Times New Roman,Regular"&amp;12&amp;A</oddHeader>
    <oddFooter>&amp;C&amp;"Times New Roman,Regular"&amp;12Página &amp;P</oddFooter>
  </headerFooter>
  <rowBreaks count="1" manualBreakCount="1">
    <brk id="66" min="1" max="29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9CD28-CBC7-4102-899D-DCC455622CD6}">
  <dimension ref="C8:L59"/>
  <sheetViews>
    <sheetView showGridLines="0" view="pageBreakPreview" zoomScale="60" zoomScaleNormal="70" workbookViewId="0">
      <selection activeCell="Q15" sqref="Q15"/>
    </sheetView>
  </sheetViews>
  <sheetFormatPr defaultRowHeight="15"/>
  <cols>
    <col min="3" max="3" width="6.140625" customWidth="1"/>
    <col min="4" max="4" width="10.42578125" customWidth="1"/>
    <col min="7" max="7" width="64.5703125" customWidth="1"/>
    <col min="8" max="8" width="11.140625" bestFit="1" customWidth="1"/>
    <col min="9" max="9" width="19" customWidth="1"/>
    <col min="10" max="10" width="12.5703125" bestFit="1" customWidth="1"/>
    <col min="11" max="11" width="25.28515625" customWidth="1"/>
    <col min="12" max="12" width="6.7109375" customWidth="1"/>
    <col min="14" max="14" width="9.140625" customWidth="1"/>
    <col min="16" max="18" width="9.140625" customWidth="1"/>
  </cols>
  <sheetData>
    <row r="8" spans="4:12" ht="21">
      <c r="D8" s="168" t="s">
        <v>152</v>
      </c>
      <c r="E8" s="168"/>
      <c r="F8" s="168"/>
      <c r="G8" s="168"/>
      <c r="H8" s="168"/>
      <c r="I8" s="168"/>
      <c r="J8" s="168"/>
      <c r="K8" s="168"/>
    </row>
    <row r="9" spans="4:12" ht="21">
      <c r="D9" s="168" t="s">
        <v>153</v>
      </c>
      <c r="E9" s="168"/>
      <c r="F9" s="168"/>
      <c r="G9" s="168"/>
      <c r="H9" s="168"/>
      <c r="I9" s="168"/>
      <c r="J9" s="168"/>
      <c r="K9" s="168"/>
    </row>
    <row r="10" spans="4:12" ht="21">
      <c r="D10" s="168" t="s">
        <v>154</v>
      </c>
      <c r="E10" s="168"/>
      <c r="F10" s="168"/>
      <c r="G10" s="168"/>
      <c r="H10" s="168"/>
      <c r="I10" s="168"/>
      <c r="J10" s="168"/>
      <c r="K10" s="168"/>
    </row>
    <row r="11" spans="4:12" ht="21">
      <c r="D11" s="168" t="s">
        <v>155</v>
      </c>
      <c r="E11" s="168"/>
      <c r="F11" s="168"/>
      <c r="G11" s="168"/>
      <c r="H11" s="168"/>
      <c r="I11" s="168"/>
      <c r="J11" s="168"/>
      <c r="K11" s="168"/>
    </row>
    <row r="12" spans="4:12" ht="21">
      <c r="D12" s="168" t="s">
        <v>156</v>
      </c>
      <c r="E12" s="168"/>
      <c r="F12" s="168"/>
      <c r="G12" s="168"/>
      <c r="H12" s="168"/>
      <c r="I12" s="168"/>
      <c r="J12" s="168"/>
      <c r="K12" s="168"/>
    </row>
    <row r="13" spans="4:12" ht="15.75" thickBot="1"/>
    <row r="14" spans="4:12" ht="32.25" customHeight="1" thickTop="1">
      <c r="D14" s="224" t="s">
        <v>223</v>
      </c>
      <c r="E14" s="225"/>
      <c r="F14" s="225"/>
      <c r="G14" s="225"/>
      <c r="H14" s="225"/>
      <c r="I14" s="225"/>
      <c r="J14" s="225"/>
      <c r="K14" s="226"/>
    </row>
    <row r="15" spans="4:12" ht="45">
      <c r="D15" s="139" t="s">
        <v>170</v>
      </c>
      <c r="E15" s="228" t="s">
        <v>171</v>
      </c>
      <c r="F15" s="228"/>
      <c r="G15" s="228"/>
      <c r="H15" s="140" t="s">
        <v>172</v>
      </c>
      <c r="I15" s="142" t="s">
        <v>174</v>
      </c>
      <c r="J15" s="140" t="s">
        <v>173</v>
      </c>
      <c r="K15" s="141" t="s">
        <v>208</v>
      </c>
      <c r="L15" s="91"/>
    </row>
    <row r="16" spans="4:12">
      <c r="D16" s="108">
        <v>1</v>
      </c>
      <c r="E16" s="215" t="s">
        <v>237</v>
      </c>
      <c r="F16" s="216"/>
      <c r="G16" s="217"/>
      <c r="H16" s="107" t="s">
        <v>179</v>
      </c>
      <c r="I16" s="107">
        <v>2</v>
      </c>
      <c r="J16" s="93">
        <v>9.9</v>
      </c>
      <c r="K16" s="94">
        <f>I16*J16</f>
        <v>19.8</v>
      </c>
    </row>
    <row r="17" spans="4:11" ht="27" customHeight="1">
      <c r="D17" s="108">
        <v>2</v>
      </c>
      <c r="E17" s="215" t="s">
        <v>175</v>
      </c>
      <c r="F17" s="216"/>
      <c r="G17" s="217"/>
      <c r="H17" s="107" t="s">
        <v>176</v>
      </c>
      <c r="I17" s="107">
        <v>15</v>
      </c>
      <c r="J17" s="93">
        <v>4.04</v>
      </c>
      <c r="K17" s="94">
        <f t="shared" ref="K17:K37" si="0">I17*J17</f>
        <v>60.6</v>
      </c>
    </row>
    <row r="18" spans="4:11">
      <c r="D18" s="108">
        <v>3</v>
      </c>
      <c r="E18" s="215" t="s">
        <v>177</v>
      </c>
      <c r="F18" s="216"/>
      <c r="G18" s="217"/>
      <c r="H18" s="107" t="s">
        <v>178</v>
      </c>
      <c r="I18" s="107">
        <v>2</v>
      </c>
      <c r="J18" s="93">
        <v>3.14</v>
      </c>
      <c r="K18" s="94">
        <f t="shared" si="0"/>
        <v>6.28</v>
      </c>
    </row>
    <row r="19" spans="4:11">
      <c r="D19" s="108">
        <v>4</v>
      </c>
      <c r="E19" s="215" t="s">
        <v>238</v>
      </c>
      <c r="F19" s="216"/>
      <c r="G19" s="217"/>
      <c r="H19" s="107" t="s">
        <v>178</v>
      </c>
      <c r="I19" s="107">
        <v>1</v>
      </c>
      <c r="J19" s="93">
        <v>11.27</v>
      </c>
      <c r="K19" s="94">
        <f t="shared" si="0"/>
        <v>11.27</v>
      </c>
    </row>
    <row r="20" spans="4:11" ht="26.25" customHeight="1">
      <c r="D20" s="108">
        <v>5</v>
      </c>
      <c r="E20" s="215" t="s">
        <v>239</v>
      </c>
      <c r="F20" s="216"/>
      <c r="G20" s="217"/>
      <c r="H20" s="92" t="s">
        <v>204</v>
      </c>
      <c r="I20" s="107">
        <v>5</v>
      </c>
      <c r="J20" s="93">
        <v>4.57</v>
      </c>
      <c r="K20" s="94">
        <f t="shared" si="0"/>
        <v>22.85</v>
      </c>
    </row>
    <row r="21" spans="4:11" ht="40.5" customHeight="1">
      <c r="D21" s="108">
        <v>6</v>
      </c>
      <c r="E21" s="215" t="s">
        <v>181</v>
      </c>
      <c r="F21" s="216"/>
      <c r="G21" s="217"/>
      <c r="H21" s="107" t="s">
        <v>176</v>
      </c>
      <c r="I21" s="107">
        <v>10</v>
      </c>
      <c r="J21" s="93">
        <v>5.96</v>
      </c>
      <c r="K21" s="94">
        <f t="shared" si="0"/>
        <v>59.6</v>
      </c>
    </row>
    <row r="22" spans="4:11" ht="15.75" customHeight="1">
      <c r="D22" s="108">
        <v>7</v>
      </c>
      <c r="E22" s="215" t="s">
        <v>240</v>
      </c>
      <c r="F22" s="216"/>
      <c r="G22" s="217"/>
      <c r="H22" s="107" t="s">
        <v>179</v>
      </c>
      <c r="I22" s="107">
        <v>1</v>
      </c>
      <c r="J22" s="93">
        <v>2.77</v>
      </c>
      <c r="K22" s="94">
        <f t="shared" si="0"/>
        <v>2.77</v>
      </c>
    </row>
    <row r="23" spans="4:11" ht="51.75" customHeight="1">
      <c r="D23" s="108">
        <v>8</v>
      </c>
      <c r="E23" s="215" t="s">
        <v>182</v>
      </c>
      <c r="F23" s="216"/>
      <c r="G23" s="217"/>
      <c r="H23" s="107" t="s">
        <v>236</v>
      </c>
      <c r="I23" s="107">
        <v>14</v>
      </c>
      <c r="J23" s="93">
        <v>2.2400000000000002</v>
      </c>
      <c r="K23" s="94">
        <f t="shared" si="0"/>
        <v>31.360000000000003</v>
      </c>
    </row>
    <row r="24" spans="4:11" ht="54" customHeight="1">
      <c r="D24" s="108">
        <v>9</v>
      </c>
      <c r="E24" s="215" t="s">
        <v>183</v>
      </c>
      <c r="F24" s="216"/>
      <c r="G24" s="217"/>
      <c r="H24" s="107" t="s">
        <v>236</v>
      </c>
      <c r="I24" s="107">
        <v>14</v>
      </c>
      <c r="J24" s="93">
        <v>4.82</v>
      </c>
      <c r="K24" s="94">
        <f t="shared" si="0"/>
        <v>67.48</v>
      </c>
    </row>
    <row r="25" spans="4:11">
      <c r="D25" s="108">
        <v>10</v>
      </c>
      <c r="E25" s="215" t="s">
        <v>184</v>
      </c>
      <c r="F25" s="216"/>
      <c r="G25" s="217"/>
      <c r="H25" s="107" t="s">
        <v>179</v>
      </c>
      <c r="I25" s="107">
        <v>2</v>
      </c>
      <c r="J25" s="93">
        <v>7.41</v>
      </c>
      <c r="K25" s="94">
        <f t="shared" si="0"/>
        <v>14.82</v>
      </c>
    </row>
    <row r="26" spans="4:11">
      <c r="D26" s="108">
        <v>11</v>
      </c>
      <c r="E26" s="215" t="s">
        <v>185</v>
      </c>
      <c r="F26" s="216"/>
      <c r="G26" s="217"/>
      <c r="H26" s="107" t="s">
        <v>179</v>
      </c>
      <c r="I26" s="107">
        <v>4</v>
      </c>
      <c r="J26" s="93">
        <v>2.29</v>
      </c>
      <c r="K26" s="94">
        <f t="shared" si="0"/>
        <v>9.16</v>
      </c>
    </row>
    <row r="27" spans="4:11">
      <c r="D27" s="108">
        <v>12</v>
      </c>
      <c r="E27" s="215" t="s">
        <v>241</v>
      </c>
      <c r="F27" s="216"/>
      <c r="G27" s="217"/>
      <c r="H27" s="107" t="s">
        <v>179</v>
      </c>
      <c r="I27" s="107">
        <v>1</v>
      </c>
      <c r="J27" s="93">
        <v>2.56</v>
      </c>
      <c r="K27" s="94">
        <f t="shared" si="0"/>
        <v>2.56</v>
      </c>
    </row>
    <row r="28" spans="4:11">
      <c r="D28" s="108">
        <v>13</v>
      </c>
      <c r="E28" s="215" t="s">
        <v>242</v>
      </c>
      <c r="F28" s="216"/>
      <c r="G28" s="217"/>
      <c r="H28" s="107" t="s">
        <v>179</v>
      </c>
      <c r="I28" s="107">
        <v>4</v>
      </c>
      <c r="J28" s="93">
        <v>0.85</v>
      </c>
      <c r="K28" s="94">
        <f t="shared" si="0"/>
        <v>3.4</v>
      </c>
    </row>
    <row r="29" spans="4:11">
      <c r="D29" s="108">
        <v>14</v>
      </c>
      <c r="E29" s="215" t="s">
        <v>205</v>
      </c>
      <c r="F29" s="216"/>
      <c r="G29" s="217"/>
      <c r="H29" s="107" t="s">
        <v>179</v>
      </c>
      <c r="I29" s="107">
        <v>1</v>
      </c>
      <c r="J29" s="93">
        <v>2.95</v>
      </c>
      <c r="K29" s="94">
        <f t="shared" si="0"/>
        <v>2.95</v>
      </c>
    </row>
    <row r="30" spans="4:11" ht="29.25" customHeight="1">
      <c r="D30" s="108">
        <v>15</v>
      </c>
      <c r="E30" s="215" t="s">
        <v>186</v>
      </c>
      <c r="F30" s="216"/>
      <c r="G30" s="217"/>
      <c r="H30" s="107" t="s">
        <v>179</v>
      </c>
      <c r="I30" s="107">
        <v>25</v>
      </c>
      <c r="J30" s="93">
        <v>8.2799999999999994</v>
      </c>
      <c r="K30" s="94">
        <f t="shared" si="0"/>
        <v>206.99999999999997</v>
      </c>
    </row>
    <row r="31" spans="4:11">
      <c r="D31" s="108">
        <v>16</v>
      </c>
      <c r="E31" s="215" t="s">
        <v>206</v>
      </c>
      <c r="F31" s="216"/>
      <c r="G31" s="217"/>
      <c r="H31" s="107" t="s">
        <v>179</v>
      </c>
      <c r="I31" s="107">
        <v>3</v>
      </c>
      <c r="J31" s="93">
        <v>4.41</v>
      </c>
      <c r="K31" s="94">
        <f t="shared" si="0"/>
        <v>13.23</v>
      </c>
    </row>
    <row r="32" spans="4:11">
      <c r="D32" s="108">
        <v>17</v>
      </c>
      <c r="E32" s="215" t="s">
        <v>243</v>
      </c>
      <c r="F32" s="216"/>
      <c r="G32" s="217"/>
      <c r="H32" s="107" t="s">
        <v>179</v>
      </c>
      <c r="I32" s="107">
        <v>10</v>
      </c>
      <c r="J32" s="93">
        <v>8.89</v>
      </c>
      <c r="K32" s="94">
        <f t="shared" si="0"/>
        <v>88.9</v>
      </c>
    </row>
    <row r="33" spans="4:11">
      <c r="D33" s="108">
        <v>18</v>
      </c>
      <c r="E33" s="215" t="s">
        <v>187</v>
      </c>
      <c r="F33" s="216"/>
      <c r="G33" s="217"/>
      <c r="H33" s="107" t="s">
        <v>179</v>
      </c>
      <c r="I33" s="107">
        <v>5</v>
      </c>
      <c r="J33" s="93">
        <v>3.54</v>
      </c>
      <c r="K33" s="94">
        <f t="shared" si="0"/>
        <v>17.7</v>
      </c>
    </row>
    <row r="34" spans="4:11">
      <c r="D34" s="108">
        <v>19</v>
      </c>
      <c r="E34" s="215" t="s">
        <v>244</v>
      </c>
      <c r="F34" s="216"/>
      <c r="G34" s="217"/>
      <c r="H34" s="107" t="s">
        <v>180</v>
      </c>
      <c r="I34" s="107">
        <v>3</v>
      </c>
      <c r="J34" s="93">
        <v>4.05</v>
      </c>
      <c r="K34" s="94">
        <f t="shared" si="0"/>
        <v>12.149999999999999</v>
      </c>
    </row>
    <row r="35" spans="4:11">
      <c r="D35" s="108">
        <v>20</v>
      </c>
      <c r="E35" s="215" t="s">
        <v>245</v>
      </c>
      <c r="F35" s="216"/>
      <c r="G35" s="217"/>
      <c r="H35" s="107" t="s">
        <v>180</v>
      </c>
      <c r="I35" s="107">
        <v>1</v>
      </c>
      <c r="J35" s="93">
        <v>5.74</v>
      </c>
      <c r="K35" s="94">
        <f t="shared" si="0"/>
        <v>5.74</v>
      </c>
    </row>
    <row r="36" spans="4:11">
      <c r="D36" s="108">
        <v>21</v>
      </c>
      <c r="E36" s="215" t="s">
        <v>246</v>
      </c>
      <c r="F36" s="216"/>
      <c r="G36" s="217"/>
      <c r="H36" s="107" t="s">
        <v>180</v>
      </c>
      <c r="I36" s="107">
        <v>2</v>
      </c>
      <c r="J36" s="93">
        <v>6.83</v>
      </c>
      <c r="K36" s="94">
        <f t="shared" si="0"/>
        <v>13.66</v>
      </c>
    </row>
    <row r="37" spans="4:11">
      <c r="D37" s="108">
        <v>22</v>
      </c>
      <c r="E37" s="215" t="s">
        <v>247</v>
      </c>
      <c r="F37" s="216"/>
      <c r="G37" s="217"/>
      <c r="H37" s="107" t="s">
        <v>179</v>
      </c>
      <c r="I37" s="107">
        <v>2</v>
      </c>
      <c r="J37" s="93">
        <v>9.1999999999999993</v>
      </c>
      <c r="K37" s="94">
        <f t="shared" si="0"/>
        <v>18.399999999999999</v>
      </c>
    </row>
    <row r="38" spans="4:11" ht="15.75" thickBot="1">
      <c r="D38" s="229" t="s">
        <v>130</v>
      </c>
      <c r="E38" s="230"/>
      <c r="F38" s="230"/>
      <c r="G38" s="230"/>
      <c r="H38" s="230"/>
      <c r="I38" s="230"/>
      <c r="J38" s="230"/>
      <c r="K38" s="95">
        <f>SUM(K16:K37)/'Resumo dos Postos'!I25</f>
        <v>691.68</v>
      </c>
    </row>
    <row r="39" spans="4:11" ht="15.75" thickTop="1">
      <c r="D39" s="71"/>
      <c r="E39" s="71"/>
      <c r="F39" s="71"/>
      <c r="G39" s="71"/>
      <c r="H39" s="71"/>
      <c r="I39" s="71"/>
      <c r="J39" s="71"/>
    </row>
    <row r="40" spans="4:11" ht="15.75" thickBot="1"/>
    <row r="41" spans="4:11" ht="36" customHeight="1" thickTop="1">
      <c r="D41" s="224" t="s">
        <v>207</v>
      </c>
      <c r="E41" s="225"/>
      <c r="F41" s="225"/>
      <c r="G41" s="225"/>
      <c r="H41" s="225"/>
      <c r="I41" s="225"/>
      <c r="J41" s="225"/>
      <c r="K41" s="226"/>
    </row>
    <row r="42" spans="4:11" ht="30">
      <c r="D42" s="139" t="s">
        <v>170</v>
      </c>
      <c r="E42" s="227" t="s">
        <v>171</v>
      </c>
      <c r="F42" s="222"/>
      <c r="G42" s="223"/>
      <c r="H42" s="140" t="s">
        <v>172</v>
      </c>
      <c r="I42" s="142" t="s">
        <v>222</v>
      </c>
      <c r="J42" s="140" t="s">
        <v>173</v>
      </c>
      <c r="K42" s="141" t="s">
        <v>208</v>
      </c>
    </row>
    <row r="43" spans="4:11">
      <c r="D43" s="108">
        <v>1</v>
      </c>
      <c r="E43" s="218" t="s">
        <v>248</v>
      </c>
      <c r="F43" s="219"/>
      <c r="G43" s="220"/>
      <c r="H43" s="107" t="s">
        <v>179</v>
      </c>
      <c r="I43" s="107">
        <v>5</v>
      </c>
      <c r="J43" s="93">
        <v>11.77</v>
      </c>
      <c r="K43" s="94">
        <f>(I43*J43)</f>
        <v>58.849999999999994</v>
      </c>
    </row>
    <row r="44" spans="4:11">
      <c r="D44" s="108">
        <v>2</v>
      </c>
      <c r="E44" s="215" t="s">
        <v>249</v>
      </c>
      <c r="F44" s="216"/>
      <c r="G44" s="217"/>
      <c r="H44" s="107" t="s">
        <v>179</v>
      </c>
      <c r="I44" s="107">
        <v>1</v>
      </c>
      <c r="J44" s="93">
        <v>19.899999999999999</v>
      </c>
      <c r="K44" s="94">
        <f t="shared" ref="K44:K54" si="1">(I44*J44)</f>
        <v>19.899999999999999</v>
      </c>
    </row>
    <row r="45" spans="4:11">
      <c r="D45" s="108">
        <v>3</v>
      </c>
      <c r="E45" s="218" t="s">
        <v>250</v>
      </c>
      <c r="F45" s="219"/>
      <c r="G45" s="220"/>
      <c r="H45" s="107" t="s">
        <v>179</v>
      </c>
      <c r="I45" s="107">
        <v>1</v>
      </c>
      <c r="J45" s="93">
        <v>72.930000000000007</v>
      </c>
      <c r="K45" s="94">
        <f t="shared" si="1"/>
        <v>72.930000000000007</v>
      </c>
    </row>
    <row r="46" spans="4:11">
      <c r="D46" s="108">
        <v>4</v>
      </c>
      <c r="E46" s="218" t="s">
        <v>251</v>
      </c>
      <c r="F46" s="219"/>
      <c r="G46" s="220"/>
      <c r="H46" s="107" t="s">
        <v>179</v>
      </c>
      <c r="I46" s="107">
        <v>1</v>
      </c>
      <c r="J46" s="93">
        <v>133.32</v>
      </c>
      <c r="K46" s="94">
        <f t="shared" si="1"/>
        <v>133.32</v>
      </c>
    </row>
    <row r="47" spans="4:11">
      <c r="D47" s="108">
        <v>5</v>
      </c>
      <c r="E47" s="215" t="s">
        <v>252</v>
      </c>
      <c r="F47" s="216"/>
      <c r="G47" s="217"/>
      <c r="H47" s="107" t="s">
        <v>179</v>
      </c>
      <c r="I47" s="107">
        <v>1</v>
      </c>
      <c r="J47" s="93">
        <v>11.71</v>
      </c>
      <c r="K47" s="94">
        <f t="shared" si="1"/>
        <v>11.71</v>
      </c>
    </row>
    <row r="48" spans="4:11">
      <c r="D48" s="108">
        <v>6</v>
      </c>
      <c r="E48" s="215" t="s">
        <v>253</v>
      </c>
      <c r="F48" s="216"/>
      <c r="G48" s="217"/>
      <c r="H48" s="107" t="s">
        <v>179</v>
      </c>
      <c r="I48" s="107">
        <v>1</v>
      </c>
      <c r="J48" s="93">
        <v>818.78</v>
      </c>
      <c r="K48" s="94">
        <f t="shared" si="1"/>
        <v>818.78</v>
      </c>
    </row>
    <row r="49" spans="3:12">
      <c r="D49" s="108">
        <v>7</v>
      </c>
      <c r="E49" s="215" t="s">
        <v>254</v>
      </c>
      <c r="F49" s="216"/>
      <c r="G49" s="217"/>
      <c r="H49" s="107" t="s">
        <v>179</v>
      </c>
      <c r="I49" s="107">
        <v>1</v>
      </c>
      <c r="J49" s="93">
        <v>38.520000000000003</v>
      </c>
      <c r="K49" s="94">
        <f t="shared" si="1"/>
        <v>38.520000000000003</v>
      </c>
    </row>
    <row r="50" spans="3:12">
      <c r="D50" s="108">
        <v>8</v>
      </c>
      <c r="E50" s="215" t="s">
        <v>255</v>
      </c>
      <c r="F50" s="216"/>
      <c r="G50" s="217"/>
      <c r="H50" s="107" t="s">
        <v>179</v>
      </c>
      <c r="I50" s="107">
        <v>1</v>
      </c>
      <c r="J50" s="93">
        <v>50.14</v>
      </c>
      <c r="K50" s="94">
        <f t="shared" si="1"/>
        <v>50.14</v>
      </c>
    </row>
    <row r="51" spans="3:12">
      <c r="D51" s="108">
        <v>9</v>
      </c>
      <c r="E51" s="215" t="s">
        <v>256</v>
      </c>
      <c r="F51" s="216"/>
      <c r="G51" s="217"/>
      <c r="H51" s="107" t="s">
        <v>179</v>
      </c>
      <c r="I51" s="107">
        <v>1</v>
      </c>
      <c r="J51" s="93">
        <v>11.61</v>
      </c>
      <c r="K51" s="94">
        <f t="shared" si="1"/>
        <v>11.61</v>
      </c>
    </row>
    <row r="52" spans="3:12">
      <c r="D52" s="108">
        <v>10</v>
      </c>
      <c r="E52" s="218" t="s">
        <v>257</v>
      </c>
      <c r="F52" s="219"/>
      <c r="G52" s="220"/>
      <c r="H52" s="107" t="s">
        <v>179</v>
      </c>
      <c r="I52" s="107">
        <v>1</v>
      </c>
      <c r="J52" s="93">
        <v>60.06</v>
      </c>
      <c r="K52" s="94">
        <f t="shared" si="1"/>
        <v>60.06</v>
      </c>
    </row>
    <row r="53" spans="3:12">
      <c r="D53" s="108">
        <v>11</v>
      </c>
      <c r="E53" s="218" t="s">
        <v>258</v>
      </c>
      <c r="F53" s="219"/>
      <c r="G53" s="220"/>
      <c r="H53" s="107" t="s">
        <v>179</v>
      </c>
      <c r="I53" s="107">
        <v>2</v>
      </c>
      <c r="J53" s="93">
        <v>20.8</v>
      </c>
      <c r="K53" s="94">
        <f t="shared" si="1"/>
        <v>41.6</v>
      </c>
    </row>
    <row r="54" spans="3:12">
      <c r="D54" s="108">
        <v>12</v>
      </c>
      <c r="E54" s="218" t="s">
        <v>259</v>
      </c>
      <c r="F54" s="219"/>
      <c r="G54" s="220"/>
      <c r="H54" s="107" t="s">
        <v>179</v>
      </c>
      <c r="I54" s="107">
        <v>1</v>
      </c>
      <c r="J54" s="93">
        <v>54.28</v>
      </c>
      <c r="K54" s="94">
        <f t="shared" si="1"/>
        <v>54.28</v>
      </c>
    </row>
    <row r="55" spans="3:12">
      <c r="D55" s="221" t="s">
        <v>269</v>
      </c>
      <c r="E55" s="222"/>
      <c r="F55" s="222"/>
      <c r="G55" s="222"/>
      <c r="H55" s="222"/>
      <c r="I55" s="222"/>
      <c r="J55" s="223"/>
      <c r="K55" s="161">
        <f>SUM(K43:K54)</f>
        <v>1371.6999999999998</v>
      </c>
    </row>
    <row r="56" spans="3:12" ht="15.75" thickBot="1">
      <c r="D56" s="212" t="s">
        <v>130</v>
      </c>
      <c r="E56" s="213"/>
      <c r="F56" s="213"/>
      <c r="G56" s="213"/>
      <c r="H56" s="213"/>
      <c r="I56" s="213"/>
      <c r="J56" s="214"/>
      <c r="K56" s="95">
        <f>(SUM(K43:K54)/12)/'Resumo dos Postos'!I25</f>
        <v>114.30833333333332</v>
      </c>
    </row>
    <row r="57" spans="3:12" ht="15.75" thickTop="1"/>
    <row r="58" spans="3:12">
      <c r="C58" s="123"/>
      <c r="D58" s="123"/>
      <c r="E58" s="123"/>
      <c r="F58" s="123"/>
      <c r="G58" s="123"/>
      <c r="H58" s="123"/>
      <c r="I58" s="123"/>
      <c r="J58" s="123"/>
      <c r="K58" s="123"/>
      <c r="L58" s="123"/>
    </row>
    <row r="59" spans="3:12">
      <c r="C59" s="123"/>
      <c r="D59" s="123"/>
      <c r="E59" s="123"/>
      <c r="F59" s="123"/>
      <c r="G59" s="123"/>
      <c r="H59" s="123"/>
      <c r="I59" s="123"/>
      <c r="J59" s="123"/>
      <c r="K59" s="123"/>
      <c r="L59" s="123"/>
    </row>
  </sheetData>
  <mergeCells count="46">
    <mergeCell ref="D8:K8"/>
    <mergeCell ref="D9:K9"/>
    <mergeCell ref="D10:K10"/>
    <mergeCell ref="D11:K11"/>
    <mergeCell ref="D12:K12"/>
    <mergeCell ref="D38:J38"/>
    <mergeCell ref="E29:G29"/>
    <mergeCell ref="E30:G30"/>
    <mergeCell ref="E31:G31"/>
    <mergeCell ref="E32:G32"/>
    <mergeCell ref="E33:G33"/>
    <mergeCell ref="E34:G34"/>
    <mergeCell ref="E35:G35"/>
    <mergeCell ref="E36:G36"/>
    <mergeCell ref="E37:G37"/>
    <mergeCell ref="E28:G28"/>
    <mergeCell ref="E19:G19"/>
    <mergeCell ref="E20:G20"/>
    <mergeCell ref="E21:G21"/>
    <mergeCell ref="E22:G22"/>
    <mergeCell ref="E23:G23"/>
    <mergeCell ref="E24:G24"/>
    <mergeCell ref="E25:G25"/>
    <mergeCell ref="E26:G26"/>
    <mergeCell ref="E15:G15"/>
    <mergeCell ref="E16:G16"/>
    <mergeCell ref="D14:K14"/>
    <mergeCell ref="E17:G17"/>
    <mergeCell ref="E27:G27"/>
    <mergeCell ref="E18:G18"/>
    <mergeCell ref="D41:K41"/>
    <mergeCell ref="E42:G42"/>
    <mergeCell ref="E43:G43"/>
    <mergeCell ref="E44:G44"/>
    <mergeCell ref="E45:G45"/>
    <mergeCell ref="E46:G46"/>
    <mergeCell ref="E47:G47"/>
    <mergeCell ref="E48:G48"/>
    <mergeCell ref="E49:G49"/>
    <mergeCell ref="E50:G50"/>
    <mergeCell ref="D56:J56"/>
    <mergeCell ref="E51:G51"/>
    <mergeCell ref="E52:G52"/>
    <mergeCell ref="E53:G53"/>
    <mergeCell ref="E54:G54"/>
    <mergeCell ref="D55:J55"/>
  </mergeCells>
  <pageMargins left="0.511811024" right="0.511811024" top="0.78740157499999996" bottom="0.78740157499999996" header="0.31496062000000002" footer="0.31496062000000002"/>
  <pageSetup paperSize="9" scale="5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D3:P54"/>
  <sheetViews>
    <sheetView showGridLines="0" view="pageBreakPreview" zoomScale="60" zoomScaleNormal="70" workbookViewId="0">
      <selection activeCell="V7" sqref="V7"/>
    </sheetView>
  </sheetViews>
  <sheetFormatPr defaultRowHeight="15"/>
  <cols>
    <col min="3" max="3" width="6.140625" customWidth="1"/>
    <col min="4" max="4" width="35.5703125" customWidth="1"/>
    <col min="5" max="5" width="55.7109375" customWidth="1"/>
    <col min="6" max="6" width="20" bestFit="1" customWidth="1"/>
    <col min="7" max="7" width="12" bestFit="1" customWidth="1"/>
    <col min="8" max="8" width="21.7109375" bestFit="1" customWidth="1"/>
    <col min="9" max="9" width="18.5703125" bestFit="1" customWidth="1"/>
    <col min="10" max="10" width="6.28515625" customWidth="1"/>
  </cols>
  <sheetData>
    <row r="3" spans="4:15" ht="65.25" customHeight="1"/>
    <row r="4" spans="4:15" ht="21">
      <c r="D4" s="168" t="s">
        <v>152</v>
      </c>
      <c r="E4" s="168"/>
      <c r="F4" s="168"/>
      <c r="G4" s="168"/>
      <c r="H4" s="168"/>
      <c r="I4" s="168"/>
      <c r="J4" s="70"/>
      <c r="K4" s="70"/>
      <c r="L4" s="70"/>
      <c r="M4" s="70"/>
      <c r="N4" s="70"/>
      <c r="O4" s="70"/>
    </row>
    <row r="5" spans="4:15" ht="21">
      <c r="D5" s="168" t="s">
        <v>153</v>
      </c>
      <c r="E5" s="168"/>
      <c r="F5" s="168"/>
      <c r="G5" s="168"/>
      <c r="H5" s="168"/>
      <c r="I5" s="168"/>
      <c r="J5" s="70"/>
      <c r="K5" s="70"/>
      <c r="L5" s="70"/>
      <c r="M5" s="70"/>
      <c r="N5" s="70"/>
      <c r="O5" s="70"/>
    </row>
    <row r="6" spans="4:15" ht="21">
      <c r="D6" s="168" t="s">
        <v>154</v>
      </c>
      <c r="E6" s="168"/>
      <c r="F6" s="168"/>
      <c r="G6" s="168"/>
      <c r="H6" s="168"/>
      <c r="I6" s="168"/>
      <c r="J6" s="70"/>
      <c r="K6" s="70"/>
      <c r="L6" s="70"/>
      <c r="M6" s="70"/>
      <c r="N6" s="70"/>
      <c r="O6" s="70"/>
    </row>
    <row r="7" spans="4:15" ht="21">
      <c r="D7" s="168" t="s">
        <v>155</v>
      </c>
      <c r="E7" s="168"/>
      <c r="F7" s="168"/>
      <c r="G7" s="168"/>
      <c r="H7" s="168"/>
      <c r="I7" s="168"/>
      <c r="J7" s="70"/>
      <c r="K7" s="70"/>
      <c r="L7" s="70"/>
      <c r="M7" s="70"/>
      <c r="N7" s="70"/>
      <c r="O7" s="70"/>
    </row>
    <row r="8" spans="4:15" ht="21">
      <c r="D8" s="168" t="s">
        <v>156</v>
      </c>
      <c r="E8" s="168"/>
      <c r="F8" s="168"/>
      <c r="G8" s="168"/>
      <c r="H8" s="168"/>
      <c r="I8" s="168"/>
      <c r="J8" s="70"/>
      <c r="K8" s="70"/>
      <c r="L8" s="70"/>
      <c r="M8" s="70"/>
      <c r="N8" s="70"/>
      <c r="O8" s="70"/>
    </row>
    <row r="9" spans="4:15" ht="15.75" thickBot="1">
      <c r="D9" s="256"/>
      <c r="E9" s="256"/>
      <c r="F9" s="256"/>
      <c r="G9" s="256"/>
      <c r="H9" s="256"/>
      <c r="I9" s="256"/>
    </row>
    <row r="10" spans="4:15" ht="20.25" thickTop="1">
      <c r="D10" s="224" t="s">
        <v>221</v>
      </c>
      <c r="E10" s="225"/>
      <c r="F10" s="225"/>
      <c r="G10" s="225"/>
      <c r="H10" s="225"/>
      <c r="I10" s="225"/>
    </row>
    <row r="11" spans="4:15" ht="46.5" customHeight="1">
      <c r="D11" s="260" t="s">
        <v>271</v>
      </c>
      <c r="E11" s="261"/>
      <c r="F11" s="261"/>
      <c r="G11" s="261"/>
      <c r="H11" s="261"/>
      <c r="I11" s="262"/>
    </row>
    <row r="12" spans="4:15" ht="42.75" customHeight="1">
      <c r="D12" s="257" t="s">
        <v>120</v>
      </c>
      <c r="E12" s="258" t="s">
        <v>121</v>
      </c>
      <c r="F12" s="259" t="s">
        <v>212</v>
      </c>
      <c r="G12" s="258" t="s">
        <v>122</v>
      </c>
      <c r="H12" s="239" t="s">
        <v>123</v>
      </c>
      <c r="I12" s="240"/>
    </row>
    <row r="13" spans="4:15">
      <c r="D13" s="257"/>
      <c r="E13" s="258"/>
      <c r="F13" s="259"/>
      <c r="G13" s="258"/>
      <c r="H13" s="96" t="s">
        <v>124</v>
      </c>
      <c r="I13" s="97" t="s">
        <v>125</v>
      </c>
    </row>
    <row r="14" spans="4:15" ht="27" customHeight="1">
      <c r="D14" s="73" t="s">
        <v>158</v>
      </c>
      <c r="E14" s="74" t="s">
        <v>234</v>
      </c>
      <c r="F14" s="75">
        <v>3</v>
      </c>
      <c r="G14" s="75" t="s">
        <v>126</v>
      </c>
      <c r="H14" s="76">
        <v>97.33</v>
      </c>
      <c r="I14" s="77">
        <f>H14*F14</f>
        <v>291.99</v>
      </c>
    </row>
    <row r="15" spans="4:15" ht="41.25" customHeight="1">
      <c r="D15" s="73" t="s">
        <v>159</v>
      </c>
      <c r="E15" s="74" t="s">
        <v>160</v>
      </c>
      <c r="F15" s="75">
        <v>3</v>
      </c>
      <c r="G15" s="75" t="s">
        <v>126</v>
      </c>
      <c r="H15" s="76">
        <v>49.5</v>
      </c>
      <c r="I15" s="77">
        <f t="shared" ref="I15:I17" si="0">H15*F15</f>
        <v>148.5</v>
      </c>
    </row>
    <row r="16" spans="4:15">
      <c r="D16" s="78" t="s">
        <v>161</v>
      </c>
      <c r="E16" s="74" t="s">
        <v>226</v>
      </c>
      <c r="F16" s="75">
        <v>1</v>
      </c>
      <c r="G16" s="75" t="s">
        <v>127</v>
      </c>
      <c r="H16" s="76">
        <v>91.65</v>
      </c>
      <c r="I16" s="77">
        <f t="shared" si="0"/>
        <v>91.65</v>
      </c>
    </row>
    <row r="17" spans="4:16">
      <c r="D17" s="73" t="s">
        <v>162</v>
      </c>
      <c r="E17" s="74" t="s">
        <v>225</v>
      </c>
      <c r="F17" s="75">
        <v>1</v>
      </c>
      <c r="G17" s="138" t="s">
        <v>127</v>
      </c>
      <c r="H17" s="76">
        <v>5.42</v>
      </c>
      <c r="I17" s="77">
        <f t="shared" si="0"/>
        <v>5.42</v>
      </c>
    </row>
    <row r="18" spans="4:16" ht="18.75">
      <c r="D18" s="241" t="s">
        <v>129</v>
      </c>
      <c r="E18" s="242"/>
      <c r="F18" s="242"/>
      <c r="G18" s="242"/>
      <c r="H18" s="242"/>
      <c r="I18" s="79">
        <f>SUM(I14:I17)</f>
        <v>537.55999999999995</v>
      </c>
    </row>
    <row r="19" spans="4:16" ht="19.5" thickBot="1">
      <c r="D19" s="231" t="s">
        <v>130</v>
      </c>
      <c r="E19" s="232"/>
      <c r="F19" s="232"/>
      <c r="G19" s="232"/>
      <c r="H19" s="232"/>
      <c r="I19" s="80">
        <f>I18/12</f>
        <v>44.79666666666666</v>
      </c>
    </row>
    <row r="20" spans="4:16" ht="17.25" thickTop="1" thickBot="1">
      <c r="D20" s="129"/>
      <c r="E20" s="130"/>
      <c r="F20" s="130"/>
      <c r="G20" s="130"/>
      <c r="H20" s="130"/>
      <c r="I20" s="131"/>
      <c r="K20" s="7"/>
      <c r="L20" s="7"/>
      <c r="M20" s="7"/>
      <c r="N20" s="7"/>
      <c r="O20" s="7"/>
      <c r="P20" s="7"/>
    </row>
    <row r="21" spans="4:16" ht="24" thickTop="1">
      <c r="D21" s="251" t="s">
        <v>235</v>
      </c>
      <c r="E21" s="252"/>
      <c r="F21" s="252"/>
      <c r="G21" s="252"/>
      <c r="H21" s="252"/>
      <c r="I21" s="253"/>
      <c r="J21" s="7"/>
      <c r="K21" s="7"/>
      <c r="L21" s="7"/>
      <c r="M21" s="7"/>
      <c r="N21" s="7"/>
      <c r="O21" s="7"/>
      <c r="P21" s="7"/>
    </row>
    <row r="22" spans="4:16" ht="41.25" customHeight="1">
      <c r="D22" s="236" t="s">
        <v>120</v>
      </c>
      <c r="E22" s="237" t="s">
        <v>121</v>
      </c>
      <c r="F22" s="238" t="s">
        <v>212</v>
      </c>
      <c r="G22" s="237" t="s">
        <v>122</v>
      </c>
      <c r="H22" s="254" t="s">
        <v>123</v>
      </c>
      <c r="I22" s="255"/>
      <c r="K22" s="7"/>
      <c r="L22" s="7"/>
      <c r="M22" s="7"/>
      <c r="N22" s="7"/>
      <c r="O22" s="7"/>
      <c r="P22" s="7"/>
    </row>
    <row r="23" spans="4:16">
      <c r="D23" s="236"/>
      <c r="E23" s="237"/>
      <c r="F23" s="238"/>
      <c r="G23" s="237"/>
      <c r="H23" s="98" t="s">
        <v>124</v>
      </c>
      <c r="I23" s="99" t="s">
        <v>125</v>
      </c>
      <c r="K23" s="7"/>
      <c r="L23" s="7"/>
      <c r="M23" s="7"/>
      <c r="N23" s="7"/>
      <c r="O23" s="7"/>
      <c r="P23" s="7"/>
    </row>
    <row r="24" spans="4:16" ht="103.5" customHeight="1">
      <c r="D24" s="88" t="s">
        <v>231</v>
      </c>
      <c r="E24" s="86" t="s">
        <v>224</v>
      </c>
      <c r="F24" s="81">
        <v>3</v>
      </c>
      <c r="G24" s="75" t="s">
        <v>126</v>
      </c>
      <c r="H24" s="82">
        <f>(77.48+117.55)/2</f>
        <v>97.515000000000001</v>
      </c>
      <c r="I24" s="83">
        <f>H24*F24</f>
        <v>292.54500000000002</v>
      </c>
      <c r="K24" s="7"/>
      <c r="L24" s="7"/>
      <c r="M24" s="7"/>
      <c r="N24" s="7"/>
      <c r="O24" s="7"/>
      <c r="P24" s="7"/>
    </row>
    <row r="25" spans="4:16" ht="54" customHeight="1">
      <c r="D25" s="88" t="s">
        <v>166</v>
      </c>
      <c r="E25" s="86" t="s">
        <v>209</v>
      </c>
      <c r="F25" s="75">
        <v>3</v>
      </c>
      <c r="G25" s="75" t="s">
        <v>126</v>
      </c>
      <c r="H25" s="82">
        <f>(74.29+89.99)/2</f>
        <v>82.14</v>
      </c>
      <c r="I25" s="83">
        <f t="shared" ref="I25:I29" si="1">H25*F25</f>
        <v>246.42000000000002</v>
      </c>
      <c r="K25" s="7"/>
      <c r="L25" s="7"/>
      <c r="M25" s="7"/>
      <c r="N25" s="7"/>
      <c r="O25" s="7"/>
      <c r="P25" s="7"/>
    </row>
    <row r="26" spans="4:16" ht="42" customHeight="1">
      <c r="D26" s="88" t="s">
        <v>232</v>
      </c>
      <c r="E26" s="86" t="s">
        <v>169</v>
      </c>
      <c r="F26" s="75">
        <v>2</v>
      </c>
      <c r="G26" s="75" t="s">
        <v>127</v>
      </c>
      <c r="H26" s="82">
        <f>(21.95+32.4)/2</f>
        <v>27.174999999999997</v>
      </c>
      <c r="I26" s="83">
        <f t="shared" si="1"/>
        <v>54.349999999999994</v>
      </c>
      <c r="K26" s="7"/>
      <c r="L26" s="7"/>
      <c r="M26" s="7"/>
      <c r="N26" s="7"/>
      <c r="O26" s="7"/>
      <c r="P26" s="7"/>
    </row>
    <row r="27" spans="4:16" ht="51">
      <c r="D27" s="89" t="s">
        <v>161</v>
      </c>
      <c r="E27" s="87" t="s">
        <v>233</v>
      </c>
      <c r="F27" s="81">
        <v>1</v>
      </c>
      <c r="G27" s="75" t="s">
        <v>128</v>
      </c>
      <c r="H27" s="82">
        <f>(95.23+116.11)/2</f>
        <v>105.67</v>
      </c>
      <c r="I27" s="83">
        <f t="shared" si="1"/>
        <v>105.67</v>
      </c>
      <c r="K27" s="7"/>
      <c r="L27" s="7"/>
      <c r="M27" s="7"/>
      <c r="N27" s="7"/>
      <c r="O27" s="7"/>
      <c r="P27" s="7"/>
    </row>
    <row r="28" spans="4:16" ht="25.5">
      <c r="D28" s="88" t="s">
        <v>167</v>
      </c>
      <c r="E28" s="86" t="s">
        <v>168</v>
      </c>
      <c r="F28" s="81">
        <v>1</v>
      </c>
      <c r="G28" s="75" t="s">
        <v>127</v>
      </c>
      <c r="H28" s="82">
        <v>40.950000000000003</v>
      </c>
      <c r="I28" s="83">
        <f t="shared" si="1"/>
        <v>40.950000000000003</v>
      </c>
      <c r="K28" s="7"/>
      <c r="L28" s="7"/>
      <c r="M28" s="7"/>
      <c r="N28" s="7"/>
      <c r="O28" s="7"/>
      <c r="P28" s="7"/>
    </row>
    <row r="29" spans="4:16">
      <c r="D29" s="89" t="s">
        <v>162</v>
      </c>
      <c r="E29" s="86" t="s">
        <v>225</v>
      </c>
      <c r="F29" s="75">
        <v>1</v>
      </c>
      <c r="G29" s="75" t="s">
        <v>127</v>
      </c>
      <c r="H29" s="82">
        <v>5.42</v>
      </c>
      <c r="I29" s="83">
        <f t="shared" si="1"/>
        <v>5.42</v>
      </c>
      <c r="K29" s="7"/>
      <c r="L29" s="7"/>
      <c r="M29" s="7"/>
      <c r="N29" s="7"/>
      <c r="O29" s="7"/>
      <c r="P29" s="7"/>
    </row>
    <row r="30" spans="4:16" ht="18.75">
      <c r="D30" s="247" t="s">
        <v>129</v>
      </c>
      <c r="E30" s="248"/>
      <c r="F30" s="248"/>
      <c r="G30" s="248"/>
      <c r="H30" s="248"/>
      <c r="I30" s="84">
        <f>SUM(I24:I29)</f>
        <v>745.35500000000002</v>
      </c>
      <c r="K30" s="7"/>
      <c r="L30" s="7"/>
      <c r="M30" s="7"/>
      <c r="N30" s="7"/>
      <c r="O30" s="7"/>
      <c r="P30" s="7"/>
    </row>
    <row r="31" spans="4:16" ht="19.5" thickBot="1">
      <c r="D31" s="249" t="s">
        <v>130</v>
      </c>
      <c r="E31" s="250"/>
      <c r="F31" s="250"/>
      <c r="G31" s="250"/>
      <c r="H31" s="250"/>
      <c r="I31" s="85">
        <f>I30/12</f>
        <v>62.112916666666671</v>
      </c>
      <c r="K31" s="7"/>
      <c r="L31" s="7"/>
      <c r="M31" s="7"/>
      <c r="N31" s="7"/>
      <c r="O31" s="7"/>
      <c r="P31" s="7"/>
    </row>
    <row r="32" spans="4:16" ht="16.5" thickTop="1" thickBot="1">
      <c r="D32" s="132"/>
      <c r="E32" s="133"/>
      <c r="F32" s="133"/>
      <c r="G32" s="133"/>
      <c r="H32" s="133"/>
      <c r="I32" s="134"/>
    </row>
    <row r="33" spans="4:10" ht="24" thickTop="1">
      <c r="D33" s="233" t="s">
        <v>211</v>
      </c>
      <c r="E33" s="234"/>
      <c r="F33" s="234"/>
      <c r="G33" s="234"/>
      <c r="H33" s="234"/>
      <c r="I33" s="235"/>
    </row>
    <row r="34" spans="4:10" ht="23.25">
      <c r="D34" s="236" t="s">
        <v>120</v>
      </c>
      <c r="E34" s="237" t="s">
        <v>121</v>
      </c>
      <c r="F34" s="238" t="s">
        <v>212</v>
      </c>
      <c r="G34" s="237" t="s">
        <v>122</v>
      </c>
      <c r="H34" s="239" t="s">
        <v>123</v>
      </c>
      <c r="I34" s="240"/>
    </row>
    <row r="35" spans="4:10" ht="25.5" customHeight="1">
      <c r="D35" s="236"/>
      <c r="E35" s="237"/>
      <c r="F35" s="238"/>
      <c r="G35" s="237"/>
      <c r="H35" s="96" t="s">
        <v>124</v>
      </c>
      <c r="I35" s="97" t="s">
        <v>125</v>
      </c>
    </row>
    <row r="36" spans="4:10" ht="27.75" customHeight="1">
      <c r="D36" s="73" t="s">
        <v>158</v>
      </c>
      <c r="E36" s="74" t="s">
        <v>234</v>
      </c>
      <c r="F36" s="122">
        <v>3</v>
      </c>
      <c r="G36" s="122" t="s">
        <v>126</v>
      </c>
      <c r="H36" s="76">
        <v>97.33</v>
      </c>
      <c r="I36" s="77">
        <f>H36*F36</f>
        <v>291.99</v>
      </c>
    </row>
    <row r="37" spans="4:10" ht="40.5" customHeight="1">
      <c r="D37" s="73" t="s">
        <v>159</v>
      </c>
      <c r="E37" s="74" t="s">
        <v>210</v>
      </c>
      <c r="F37" s="122">
        <v>3</v>
      </c>
      <c r="G37" s="122" t="s">
        <v>126</v>
      </c>
      <c r="H37" s="76">
        <v>49.5</v>
      </c>
      <c r="I37" s="77">
        <f t="shared" ref="I37:I39" si="2">H37*F37</f>
        <v>148.5</v>
      </c>
    </row>
    <row r="38" spans="4:10" ht="29.25" customHeight="1">
      <c r="D38" s="120" t="s">
        <v>161</v>
      </c>
      <c r="E38" s="121" t="s">
        <v>214</v>
      </c>
      <c r="F38" s="122">
        <v>1</v>
      </c>
      <c r="G38" s="122" t="s">
        <v>127</v>
      </c>
      <c r="H38" s="76">
        <v>58.29</v>
      </c>
      <c r="I38" s="77">
        <f t="shared" si="2"/>
        <v>58.29</v>
      </c>
    </row>
    <row r="39" spans="4:10">
      <c r="D39" s="78" t="s">
        <v>162</v>
      </c>
      <c r="E39" s="74" t="s">
        <v>225</v>
      </c>
      <c r="F39" s="122">
        <v>1</v>
      </c>
      <c r="G39" s="138" t="s">
        <v>127</v>
      </c>
      <c r="H39" s="76">
        <v>5.42</v>
      </c>
      <c r="I39" s="77">
        <f t="shared" si="2"/>
        <v>5.42</v>
      </c>
    </row>
    <row r="40" spans="4:10" ht="18.75">
      <c r="D40" s="241" t="s">
        <v>129</v>
      </c>
      <c r="E40" s="242"/>
      <c r="F40" s="242"/>
      <c r="G40" s="242"/>
      <c r="H40" s="242"/>
      <c r="I40" s="79">
        <f>SUM(I36:I39)</f>
        <v>504.20000000000005</v>
      </c>
    </row>
    <row r="41" spans="4:10" ht="19.5" thickBot="1">
      <c r="D41" s="231" t="s">
        <v>129</v>
      </c>
      <c r="E41" s="232"/>
      <c r="F41" s="232"/>
      <c r="G41" s="232"/>
      <c r="H41" s="232"/>
      <c r="I41" s="80">
        <f>I40/12</f>
        <v>42.016666666666673</v>
      </c>
    </row>
    <row r="42" spans="4:10" ht="15.75" thickTop="1"/>
    <row r="43" spans="4:10" ht="6" customHeight="1" thickBot="1">
      <c r="J43" s="123"/>
    </row>
    <row r="44" spans="4:10" ht="24" thickTop="1">
      <c r="D44" s="224" t="s">
        <v>213</v>
      </c>
      <c r="E44" s="225"/>
      <c r="F44" s="225"/>
      <c r="G44" s="225"/>
      <c r="H44" s="225"/>
      <c r="I44" s="225"/>
      <c r="J44" s="124"/>
    </row>
    <row r="45" spans="4:10" ht="23.25">
      <c r="D45" s="244" t="s">
        <v>211</v>
      </c>
      <c r="E45" s="239"/>
      <c r="F45" s="239"/>
      <c r="G45" s="239"/>
      <c r="H45" s="239"/>
      <c r="I45" s="240"/>
      <c r="J45" s="124"/>
    </row>
    <row r="46" spans="4:10" ht="24" customHeight="1">
      <c r="D46" s="243" t="s">
        <v>120</v>
      </c>
      <c r="E46" s="237" t="s">
        <v>121</v>
      </c>
      <c r="F46" s="245" t="s">
        <v>212</v>
      </c>
      <c r="G46" s="245" t="s">
        <v>134</v>
      </c>
      <c r="H46" s="239" t="s">
        <v>123</v>
      </c>
      <c r="I46" s="240"/>
      <c r="J46" s="125"/>
    </row>
    <row r="47" spans="4:10" ht="23.25" customHeight="1">
      <c r="D47" s="243"/>
      <c r="E47" s="237"/>
      <c r="F47" s="246"/>
      <c r="G47" s="246"/>
      <c r="H47" s="127" t="s">
        <v>124</v>
      </c>
      <c r="I47" s="128" t="s">
        <v>219</v>
      </c>
      <c r="J47" s="125"/>
    </row>
    <row r="48" spans="4:10" ht="25.5">
      <c r="D48" s="73" t="s">
        <v>215</v>
      </c>
      <c r="E48" s="74" t="s">
        <v>230</v>
      </c>
      <c r="F48" s="138">
        <v>48</v>
      </c>
      <c r="G48" s="138" t="s">
        <v>172</v>
      </c>
      <c r="H48" s="76">
        <v>8.11</v>
      </c>
      <c r="I48" s="77">
        <f>H48*F48</f>
        <v>389.28</v>
      </c>
      <c r="J48" s="125"/>
    </row>
    <row r="49" spans="4:10" ht="40.5" customHeight="1">
      <c r="D49" s="73" t="s">
        <v>216</v>
      </c>
      <c r="E49" s="74" t="s">
        <v>229</v>
      </c>
      <c r="F49" s="138">
        <v>4</v>
      </c>
      <c r="G49" s="138" t="s">
        <v>172</v>
      </c>
      <c r="H49" s="76">
        <v>61.7</v>
      </c>
      <c r="I49" s="77">
        <f>H49*F49</f>
        <v>246.8</v>
      </c>
      <c r="J49" s="125"/>
    </row>
    <row r="50" spans="4:10" ht="30.75" customHeight="1">
      <c r="D50" s="120" t="s">
        <v>217</v>
      </c>
      <c r="E50" s="121" t="s">
        <v>228</v>
      </c>
      <c r="F50" s="138">
        <v>2</v>
      </c>
      <c r="G50" s="138" t="s">
        <v>172</v>
      </c>
      <c r="H50" s="76">
        <v>61.01</v>
      </c>
      <c r="I50" s="77">
        <f>H50*F50</f>
        <v>122.02</v>
      </c>
      <c r="J50" s="125"/>
    </row>
    <row r="51" spans="4:10">
      <c r="D51" s="78" t="s">
        <v>218</v>
      </c>
      <c r="E51" s="74" t="s">
        <v>227</v>
      </c>
      <c r="F51" s="138">
        <v>4</v>
      </c>
      <c r="G51" s="138" t="s">
        <v>172</v>
      </c>
      <c r="H51" s="76">
        <v>3.4</v>
      </c>
      <c r="I51" s="77">
        <f>H51*F51</f>
        <v>13.6</v>
      </c>
      <c r="J51" s="125"/>
    </row>
    <row r="52" spans="4:10" ht="18.75">
      <c r="D52" s="241" t="s">
        <v>129</v>
      </c>
      <c r="E52" s="242"/>
      <c r="F52" s="242"/>
      <c r="G52" s="242"/>
      <c r="H52" s="242"/>
      <c r="I52" s="79">
        <f>SUM(I48:I51)</f>
        <v>771.69999999999993</v>
      </c>
      <c r="J52" s="126"/>
    </row>
    <row r="53" spans="4:10" ht="19.5" thickBot="1">
      <c r="D53" s="231" t="s">
        <v>220</v>
      </c>
      <c r="E53" s="232"/>
      <c r="F53" s="232"/>
      <c r="G53" s="232"/>
      <c r="H53" s="232"/>
      <c r="I53" s="80">
        <f>I52/12</f>
        <v>64.308333333333323</v>
      </c>
      <c r="J53" s="126"/>
    </row>
    <row r="54" spans="4:10" ht="15.75" thickTop="1">
      <c r="J54" s="7"/>
    </row>
  </sheetData>
  <mergeCells count="40">
    <mergeCell ref="D9:I9"/>
    <mergeCell ref="D10:I10"/>
    <mergeCell ref="D12:D13"/>
    <mergeCell ref="E12:E13"/>
    <mergeCell ref="F12:F13"/>
    <mergeCell ref="G12:G13"/>
    <mergeCell ref="D11:I11"/>
    <mergeCell ref="H12:I12"/>
    <mergeCell ref="D4:I4"/>
    <mergeCell ref="D5:I5"/>
    <mergeCell ref="D6:I6"/>
    <mergeCell ref="D7:I7"/>
    <mergeCell ref="D8:I8"/>
    <mergeCell ref="D18:H18"/>
    <mergeCell ref="D19:H19"/>
    <mergeCell ref="H46:I46"/>
    <mergeCell ref="D52:H52"/>
    <mergeCell ref="G46:G47"/>
    <mergeCell ref="D30:H30"/>
    <mergeCell ref="D31:H31"/>
    <mergeCell ref="D21:I21"/>
    <mergeCell ref="D22:D23"/>
    <mergeCell ref="E22:E23"/>
    <mergeCell ref="F22:F23"/>
    <mergeCell ref="G22:G23"/>
    <mergeCell ref="H22:I22"/>
    <mergeCell ref="D53:H53"/>
    <mergeCell ref="D33:I33"/>
    <mergeCell ref="D34:D35"/>
    <mergeCell ref="E34:E35"/>
    <mergeCell ref="F34:F35"/>
    <mergeCell ref="G34:G35"/>
    <mergeCell ref="H34:I34"/>
    <mergeCell ref="D40:H40"/>
    <mergeCell ref="D41:H41"/>
    <mergeCell ref="D46:D47"/>
    <mergeCell ref="E46:E47"/>
    <mergeCell ref="D44:I44"/>
    <mergeCell ref="D45:I45"/>
    <mergeCell ref="F46:F47"/>
  </mergeCells>
  <pageMargins left="0.511811024" right="0.511811024" top="0.78740157499999996" bottom="0.78740157499999996" header="0.31496062000000002" footer="0.31496062000000002"/>
  <pageSetup paperSize="9" scale="35" orientation="landscape" horizontalDpi="4294967294" vertic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3:U41"/>
  <sheetViews>
    <sheetView showGridLines="0" view="pageBreakPreview" zoomScale="80" zoomScaleNormal="70" zoomScaleSheetLayoutView="80" workbookViewId="0">
      <selection activeCell="E3" sqref="E3"/>
    </sheetView>
  </sheetViews>
  <sheetFormatPr defaultRowHeight="15"/>
  <cols>
    <col min="3" max="3" width="4.85546875" customWidth="1"/>
    <col min="4" max="4" width="4.28515625" bestFit="1" customWidth="1"/>
    <col min="5" max="5" width="42.42578125" bestFit="1" customWidth="1"/>
    <col min="6" max="6" width="7.85546875" customWidth="1"/>
    <col min="7" max="7" width="9.7109375" bestFit="1" customWidth="1"/>
    <col min="8" max="8" width="15.140625" customWidth="1"/>
    <col min="9" max="9" width="16" customWidth="1"/>
    <col min="10" max="10" width="15.28515625" customWidth="1"/>
    <col min="11" max="11" width="15.140625" customWidth="1"/>
    <col min="12" max="12" width="27.42578125" bestFit="1" customWidth="1"/>
    <col min="13" max="13" width="29.42578125" bestFit="1" customWidth="1"/>
    <col min="14" max="14" width="4.85546875" customWidth="1"/>
    <col min="19" max="19" width="12.42578125" bestFit="1" customWidth="1"/>
    <col min="21" max="21" width="12.42578125" bestFit="1" customWidth="1"/>
  </cols>
  <sheetData>
    <row r="3" spans="4:18" ht="73.5" customHeight="1"/>
    <row r="4" spans="4:18" ht="21">
      <c r="D4" s="168" t="s">
        <v>152</v>
      </c>
      <c r="E4" s="168"/>
      <c r="F4" s="168"/>
      <c r="G4" s="168"/>
      <c r="H4" s="168"/>
      <c r="I4" s="168"/>
      <c r="J4" s="168"/>
      <c r="K4" s="168"/>
      <c r="L4" s="168"/>
      <c r="M4" s="168"/>
      <c r="N4" s="70"/>
      <c r="O4" s="70"/>
      <c r="P4" s="70"/>
      <c r="Q4" s="70"/>
      <c r="R4" s="70"/>
    </row>
    <row r="5" spans="4:18" ht="21">
      <c r="D5" s="168" t="s">
        <v>153</v>
      </c>
      <c r="E5" s="168"/>
      <c r="F5" s="168"/>
      <c r="G5" s="168"/>
      <c r="H5" s="168"/>
      <c r="I5" s="168"/>
      <c r="J5" s="168"/>
      <c r="K5" s="168"/>
      <c r="L5" s="168"/>
      <c r="M5" s="168"/>
      <c r="N5" s="70"/>
      <c r="O5" s="70"/>
      <c r="P5" s="70"/>
      <c r="Q5" s="70"/>
      <c r="R5" s="70"/>
    </row>
    <row r="6" spans="4:18" ht="21">
      <c r="D6" s="168" t="s">
        <v>154</v>
      </c>
      <c r="E6" s="168"/>
      <c r="F6" s="168"/>
      <c r="G6" s="168"/>
      <c r="H6" s="168"/>
      <c r="I6" s="168"/>
      <c r="J6" s="168"/>
      <c r="K6" s="168"/>
      <c r="L6" s="168"/>
      <c r="M6" s="168"/>
      <c r="N6" s="70"/>
      <c r="O6" s="70"/>
      <c r="P6" s="70"/>
      <c r="Q6" s="70"/>
      <c r="R6" s="70"/>
    </row>
    <row r="7" spans="4:18" ht="21">
      <c r="D7" s="168" t="s">
        <v>155</v>
      </c>
      <c r="E7" s="168"/>
      <c r="F7" s="168"/>
      <c r="G7" s="168"/>
      <c r="H7" s="168"/>
      <c r="I7" s="168"/>
      <c r="J7" s="168"/>
      <c r="K7" s="168"/>
      <c r="L7" s="168"/>
      <c r="M7" s="168"/>
      <c r="N7" s="70"/>
      <c r="O7" s="70"/>
      <c r="P7" s="70"/>
      <c r="Q7" s="70"/>
      <c r="R7" s="70"/>
    </row>
    <row r="8" spans="4:18" ht="21">
      <c r="D8" s="168" t="s">
        <v>156</v>
      </c>
      <c r="E8" s="168"/>
      <c r="F8" s="168"/>
      <c r="G8" s="168"/>
      <c r="H8" s="168"/>
      <c r="I8" s="168"/>
      <c r="J8" s="168"/>
      <c r="K8" s="168"/>
      <c r="L8" s="168"/>
      <c r="M8" s="168"/>
      <c r="N8" s="70"/>
      <c r="O8" s="70"/>
      <c r="P8" s="70"/>
      <c r="Q8" s="70"/>
      <c r="R8" s="70"/>
    </row>
    <row r="9" spans="4:18" ht="15.75" thickBot="1"/>
    <row r="10" spans="4:18" ht="23.25" customHeight="1" thickTop="1">
      <c r="D10" s="224" t="s">
        <v>131</v>
      </c>
      <c r="E10" s="225"/>
      <c r="F10" s="225"/>
      <c r="G10" s="225"/>
      <c r="H10" s="225"/>
      <c r="I10" s="225"/>
      <c r="J10" s="225"/>
      <c r="K10" s="225"/>
      <c r="L10" s="225"/>
      <c r="M10" s="225"/>
    </row>
    <row r="11" spans="4:18" ht="37.5" customHeight="1">
      <c r="D11" s="50" t="s">
        <v>132</v>
      </c>
      <c r="E11" s="51" t="s">
        <v>133</v>
      </c>
      <c r="F11" s="51" t="s">
        <v>134</v>
      </c>
      <c r="G11" s="52" t="s">
        <v>135</v>
      </c>
      <c r="H11" s="52" t="s">
        <v>136</v>
      </c>
      <c r="I11" s="52" t="s">
        <v>137</v>
      </c>
      <c r="J11" s="52" t="s">
        <v>138</v>
      </c>
      <c r="K11" s="52" t="s">
        <v>139</v>
      </c>
      <c r="L11" s="52" t="s">
        <v>140</v>
      </c>
      <c r="M11" s="53" t="s">
        <v>141</v>
      </c>
      <c r="O11" s="7"/>
    </row>
    <row r="12" spans="4:18" ht="25.5">
      <c r="D12" s="31">
        <v>1</v>
      </c>
      <c r="E12" s="119" t="s">
        <v>142</v>
      </c>
      <c r="F12" s="8" t="s">
        <v>143</v>
      </c>
      <c r="G12" s="68">
        <v>114</v>
      </c>
      <c r="H12" s="8">
        <v>1</v>
      </c>
      <c r="I12" s="8">
        <f t="shared" ref="I12:I30" si="0">G12*H12</f>
        <v>114</v>
      </c>
      <c r="J12" s="14">
        <f>'Equipe Técnica Grupo 01'!K127</f>
        <v>3860.41</v>
      </c>
      <c r="K12" s="9">
        <f>H12*J12</f>
        <v>3860.41</v>
      </c>
      <c r="L12" s="9">
        <f>K12*G12</f>
        <v>440086.74</v>
      </c>
      <c r="M12" s="32">
        <f>L12*12</f>
        <v>5281040.88</v>
      </c>
      <c r="O12" s="7"/>
    </row>
    <row r="13" spans="4:18" ht="25.5">
      <c r="D13" s="31">
        <v>2</v>
      </c>
      <c r="E13" s="119" t="s">
        <v>188</v>
      </c>
      <c r="F13" s="8" t="s">
        <v>143</v>
      </c>
      <c r="G13" s="68">
        <v>17</v>
      </c>
      <c r="H13" s="8">
        <v>2</v>
      </c>
      <c r="I13" s="8">
        <f t="shared" si="0"/>
        <v>34</v>
      </c>
      <c r="J13" s="14">
        <f>'Equipe Técnica Grupo 01'!L127</f>
        <v>3644.89</v>
      </c>
      <c r="K13" s="9">
        <f t="shared" ref="K13:K14" si="1">H13*J13</f>
        <v>7289.78</v>
      </c>
      <c r="L13" s="9">
        <f>K13*G13</f>
        <v>123926.26</v>
      </c>
      <c r="M13" s="32">
        <f t="shared" ref="M13:M14" si="2">L13*12</f>
        <v>1487115.1199999999</v>
      </c>
      <c r="O13" s="7"/>
    </row>
    <row r="14" spans="4:18" ht="25.5">
      <c r="D14" s="31">
        <v>3</v>
      </c>
      <c r="E14" s="119" t="s">
        <v>190</v>
      </c>
      <c r="F14" s="68" t="s">
        <v>143</v>
      </c>
      <c r="G14" s="68">
        <v>2</v>
      </c>
      <c r="H14" s="68">
        <v>1</v>
      </c>
      <c r="I14" s="68">
        <f t="shared" si="0"/>
        <v>2</v>
      </c>
      <c r="J14" s="101">
        <f>'Equipe Técnica Grupo 01'!M127</f>
        <v>3620.59</v>
      </c>
      <c r="K14" s="102">
        <f t="shared" si="1"/>
        <v>3620.59</v>
      </c>
      <c r="L14" s="102">
        <f t="shared" ref="L14:L17" si="3">K14*G14</f>
        <v>7241.18</v>
      </c>
      <c r="M14" s="103">
        <f t="shared" si="2"/>
        <v>86894.16</v>
      </c>
      <c r="O14" s="7"/>
    </row>
    <row r="15" spans="4:18" ht="25.5">
      <c r="D15" s="31">
        <v>4</v>
      </c>
      <c r="E15" s="119" t="s">
        <v>150</v>
      </c>
      <c r="F15" s="8" t="s">
        <v>143</v>
      </c>
      <c r="G15" s="68">
        <v>8</v>
      </c>
      <c r="H15" s="8">
        <v>2</v>
      </c>
      <c r="I15" s="8">
        <f t="shared" si="0"/>
        <v>16</v>
      </c>
      <c r="J15" s="14">
        <f>'Equipe Técnica Grupo 01'!N127</f>
        <v>3925.28</v>
      </c>
      <c r="K15" s="9">
        <f t="shared" ref="K15:K30" si="4">J15*H15</f>
        <v>7850.56</v>
      </c>
      <c r="L15" s="9">
        <f t="shared" si="3"/>
        <v>62804.480000000003</v>
      </c>
      <c r="M15" s="32">
        <f t="shared" ref="M15:M25" si="5">L15*12</f>
        <v>753653.76000000001</v>
      </c>
      <c r="O15" s="7"/>
    </row>
    <row r="16" spans="4:18" ht="25.5">
      <c r="D16" s="31">
        <v>5</v>
      </c>
      <c r="E16" s="119" t="s">
        <v>151</v>
      </c>
      <c r="F16" s="8" t="s">
        <v>143</v>
      </c>
      <c r="G16" s="68">
        <v>6</v>
      </c>
      <c r="H16" s="8">
        <v>2</v>
      </c>
      <c r="I16" s="8">
        <f t="shared" si="0"/>
        <v>12</v>
      </c>
      <c r="J16" s="14">
        <f>'Equipe Técnica Grupo 01'!O127</f>
        <v>4496.08</v>
      </c>
      <c r="K16" s="9">
        <f t="shared" si="4"/>
        <v>8992.16</v>
      </c>
      <c r="L16" s="9">
        <f t="shared" si="3"/>
        <v>53952.959999999999</v>
      </c>
      <c r="M16" s="32">
        <f t="shared" si="5"/>
        <v>647435.52000000002</v>
      </c>
      <c r="O16" s="7"/>
    </row>
    <row r="17" spans="4:21" ht="25.5">
      <c r="D17" s="31">
        <v>6</v>
      </c>
      <c r="E17" s="119" t="s">
        <v>199</v>
      </c>
      <c r="F17" s="8" t="s">
        <v>143</v>
      </c>
      <c r="G17" s="68">
        <v>40</v>
      </c>
      <c r="H17" s="8">
        <v>1</v>
      </c>
      <c r="I17" s="8">
        <f t="shared" si="0"/>
        <v>40</v>
      </c>
      <c r="J17" s="14">
        <f>'Equipe Técnica Grupo 01'!P127</f>
        <v>4140.83</v>
      </c>
      <c r="K17" s="9">
        <f t="shared" si="4"/>
        <v>4140.83</v>
      </c>
      <c r="L17" s="9">
        <f t="shared" si="3"/>
        <v>165633.20000000001</v>
      </c>
      <c r="M17" s="32">
        <f t="shared" si="5"/>
        <v>1987598.4000000001</v>
      </c>
      <c r="O17" s="7"/>
    </row>
    <row r="18" spans="4:21" ht="25.5">
      <c r="D18" s="31">
        <v>7</v>
      </c>
      <c r="E18" s="119" t="s">
        <v>144</v>
      </c>
      <c r="F18" s="8" t="s">
        <v>143</v>
      </c>
      <c r="G18" s="68">
        <v>5</v>
      </c>
      <c r="H18" s="8">
        <v>2</v>
      </c>
      <c r="I18" s="8">
        <f t="shared" si="0"/>
        <v>10</v>
      </c>
      <c r="J18" s="14">
        <f>'Equipe Técnica Grupo 01'!Q127</f>
        <v>3925.28</v>
      </c>
      <c r="K18" s="9">
        <f t="shared" si="4"/>
        <v>7850.56</v>
      </c>
      <c r="L18" s="9">
        <f t="shared" ref="L18:L19" si="6">K18*G18</f>
        <v>39252.800000000003</v>
      </c>
      <c r="M18" s="32">
        <f t="shared" si="5"/>
        <v>471033.60000000003</v>
      </c>
      <c r="O18" s="10"/>
    </row>
    <row r="19" spans="4:21" ht="25.5">
      <c r="D19" s="31">
        <v>8</v>
      </c>
      <c r="E19" s="119" t="s">
        <v>145</v>
      </c>
      <c r="F19" s="8" t="s">
        <v>143</v>
      </c>
      <c r="G19" s="68">
        <v>4</v>
      </c>
      <c r="H19" s="8">
        <v>2</v>
      </c>
      <c r="I19" s="8">
        <f t="shared" si="0"/>
        <v>8</v>
      </c>
      <c r="J19" s="14">
        <f>'Equipe Técnica Grupo 01'!R127</f>
        <v>4496.08</v>
      </c>
      <c r="K19" s="41">
        <f t="shared" si="4"/>
        <v>8992.16</v>
      </c>
      <c r="L19" s="9">
        <f t="shared" si="6"/>
        <v>35968.639999999999</v>
      </c>
      <c r="M19" s="32">
        <f t="shared" si="5"/>
        <v>431623.67999999999</v>
      </c>
      <c r="O19" s="10"/>
    </row>
    <row r="20" spans="4:21" ht="25.5">
      <c r="D20" s="31">
        <v>9</v>
      </c>
      <c r="E20" s="119" t="s">
        <v>149</v>
      </c>
      <c r="F20" s="8" t="s">
        <v>143</v>
      </c>
      <c r="G20" s="68">
        <v>13</v>
      </c>
      <c r="H20" s="8">
        <v>1</v>
      </c>
      <c r="I20" s="8">
        <f t="shared" si="0"/>
        <v>13</v>
      </c>
      <c r="J20" s="14">
        <f>'Equipe Técnica Grupo 01'!S127</f>
        <v>3979.09</v>
      </c>
      <c r="K20" s="41">
        <f t="shared" si="4"/>
        <v>3979.09</v>
      </c>
      <c r="L20" s="9">
        <f t="shared" ref="L20:L26" si="7">K20*G20</f>
        <v>51728.17</v>
      </c>
      <c r="M20" s="32">
        <f t="shared" si="5"/>
        <v>620738.04</v>
      </c>
      <c r="O20" s="10"/>
    </row>
    <row r="21" spans="4:21" ht="37.5" customHeight="1">
      <c r="D21" s="31">
        <v>10</v>
      </c>
      <c r="E21" s="119" t="s">
        <v>200</v>
      </c>
      <c r="F21" s="8" t="s">
        <v>143</v>
      </c>
      <c r="G21" s="69">
        <v>2</v>
      </c>
      <c r="H21" s="42">
        <v>1</v>
      </c>
      <c r="I21" s="42">
        <f t="shared" si="0"/>
        <v>2</v>
      </c>
      <c r="J21" s="43">
        <f>'Equipe Técnica Grupo 01'!T127</f>
        <v>4216.8599999999997</v>
      </c>
      <c r="K21" s="41">
        <f t="shared" si="4"/>
        <v>4216.8599999999997</v>
      </c>
      <c r="L21" s="9">
        <f t="shared" si="7"/>
        <v>8433.7199999999993</v>
      </c>
      <c r="M21" s="32">
        <f t="shared" si="5"/>
        <v>101204.63999999998</v>
      </c>
      <c r="O21" s="10"/>
      <c r="S21" s="137"/>
      <c r="U21" s="137"/>
    </row>
    <row r="22" spans="4:21" ht="43.5" customHeight="1">
      <c r="D22" s="31">
        <v>11</v>
      </c>
      <c r="E22" s="119" t="s">
        <v>201</v>
      </c>
      <c r="F22" s="135" t="s">
        <v>143</v>
      </c>
      <c r="G22" s="136">
        <v>2</v>
      </c>
      <c r="H22" s="136">
        <v>1</v>
      </c>
      <c r="I22" s="136">
        <f t="shared" si="0"/>
        <v>2</v>
      </c>
      <c r="J22" s="43">
        <f>'Equipe Técnica Grupo 01'!U127</f>
        <v>4624.5200000000004</v>
      </c>
      <c r="K22" s="41">
        <f t="shared" si="4"/>
        <v>4624.5200000000004</v>
      </c>
      <c r="L22" s="9">
        <f t="shared" si="7"/>
        <v>9249.0400000000009</v>
      </c>
      <c r="M22" s="32">
        <f t="shared" si="5"/>
        <v>110988.48000000001</v>
      </c>
      <c r="O22" s="10"/>
    </row>
    <row r="23" spans="4:21" ht="25.5">
      <c r="D23" s="31">
        <v>12</v>
      </c>
      <c r="E23" s="119" t="s">
        <v>163</v>
      </c>
      <c r="F23" s="135" t="s">
        <v>143</v>
      </c>
      <c r="G23" s="136">
        <v>2</v>
      </c>
      <c r="H23" s="136">
        <v>2</v>
      </c>
      <c r="I23" s="136">
        <f t="shared" si="0"/>
        <v>4</v>
      </c>
      <c r="J23" s="43">
        <f>'Equipe Técnica Grupo 01'!V127</f>
        <v>5771.75</v>
      </c>
      <c r="K23" s="41">
        <f t="shared" si="4"/>
        <v>11543.5</v>
      </c>
      <c r="L23" s="9">
        <f t="shared" si="7"/>
        <v>23087</v>
      </c>
      <c r="M23" s="32">
        <f t="shared" si="5"/>
        <v>277044</v>
      </c>
      <c r="O23" s="10"/>
    </row>
    <row r="24" spans="4:21" ht="25.5">
      <c r="D24" s="31">
        <v>13</v>
      </c>
      <c r="E24" s="119" t="s">
        <v>202</v>
      </c>
      <c r="F24" s="8" t="s">
        <v>143</v>
      </c>
      <c r="G24" s="69">
        <v>1</v>
      </c>
      <c r="H24" s="42">
        <v>2</v>
      </c>
      <c r="I24" s="42">
        <f t="shared" si="0"/>
        <v>2</v>
      </c>
      <c r="J24" s="43">
        <f>'Equipe Técnica Grupo 01'!W127</f>
        <v>6711.38</v>
      </c>
      <c r="K24" s="41">
        <f t="shared" si="4"/>
        <v>13422.76</v>
      </c>
      <c r="L24" s="9">
        <f t="shared" si="7"/>
        <v>13422.76</v>
      </c>
      <c r="M24" s="32">
        <f t="shared" si="5"/>
        <v>161073.12</v>
      </c>
      <c r="O24" s="10"/>
    </row>
    <row r="25" spans="4:21" ht="25.5">
      <c r="D25" s="31">
        <v>14</v>
      </c>
      <c r="E25" s="119" t="s">
        <v>203</v>
      </c>
      <c r="F25" s="8" t="s">
        <v>143</v>
      </c>
      <c r="G25" s="69">
        <v>1</v>
      </c>
      <c r="H25" s="42">
        <v>1</v>
      </c>
      <c r="I25" s="42">
        <f t="shared" si="0"/>
        <v>1</v>
      </c>
      <c r="J25" s="43">
        <f>'Equipe Técnica Grupo 01'!X127</f>
        <v>4729.5200000000004</v>
      </c>
      <c r="K25" s="41">
        <f t="shared" si="4"/>
        <v>4729.5200000000004</v>
      </c>
      <c r="L25" s="9">
        <f t="shared" si="7"/>
        <v>4729.5200000000004</v>
      </c>
      <c r="M25" s="32">
        <f t="shared" si="5"/>
        <v>56754.240000000005</v>
      </c>
      <c r="O25" s="10"/>
    </row>
    <row r="26" spans="4:21" ht="25.5">
      <c r="D26" s="31">
        <v>15</v>
      </c>
      <c r="E26" s="119" t="s">
        <v>165</v>
      </c>
      <c r="F26" s="8" t="s">
        <v>143</v>
      </c>
      <c r="G26" s="69">
        <v>2</v>
      </c>
      <c r="H26" s="42">
        <v>1</v>
      </c>
      <c r="I26" s="42">
        <f t="shared" si="0"/>
        <v>2</v>
      </c>
      <c r="J26" s="43">
        <f>'Equipe Técnica Grupo 01'!Y127</f>
        <v>3620.59</v>
      </c>
      <c r="K26" s="41">
        <f t="shared" si="4"/>
        <v>3620.59</v>
      </c>
      <c r="L26" s="9">
        <f t="shared" si="7"/>
        <v>7241.18</v>
      </c>
      <c r="M26" s="32">
        <f>L26*12</f>
        <v>86894.16</v>
      </c>
      <c r="O26" s="10"/>
    </row>
    <row r="27" spans="4:21" ht="25.5">
      <c r="D27" s="31">
        <v>16</v>
      </c>
      <c r="E27" s="119" t="s">
        <v>198</v>
      </c>
      <c r="F27" s="8" t="s">
        <v>143</v>
      </c>
      <c r="G27" s="69">
        <v>5</v>
      </c>
      <c r="H27" s="42">
        <v>1</v>
      </c>
      <c r="I27" s="42">
        <f t="shared" si="0"/>
        <v>5</v>
      </c>
      <c r="J27" s="43">
        <f>'Equipe Técnica Grupo 01'!Z127</f>
        <v>3703.46</v>
      </c>
      <c r="K27" s="41">
        <f t="shared" si="4"/>
        <v>3703.46</v>
      </c>
      <c r="L27" s="9">
        <f>K27*G27</f>
        <v>18517.3</v>
      </c>
      <c r="M27" s="32">
        <f>L27*12</f>
        <v>222207.59999999998</v>
      </c>
      <c r="O27" s="10"/>
    </row>
    <row r="28" spans="4:21" ht="38.25">
      <c r="D28" s="149">
        <v>17</v>
      </c>
      <c r="E28" s="119" t="s">
        <v>265</v>
      </c>
      <c r="F28" s="8" t="s">
        <v>143</v>
      </c>
      <c r="G28" s="69">
        <v>4</v>
      </c>
      <c r="H28" s="42">
        <v>3</v>
      </c>
      <c r="I28" s="42">
        <f t="shared" si="0"/>
        <v>12</v>
      </c>
      <c r="J28" s="43">
        <f>'Equipe Técnica Grupo 01'!AA127</f>
        <v>3498.2</v>
      </c>
      <c r="K28" s="41">
        <f t="shared" si="4"/>
        <v>10494.599999999999</v>
      </c>
      <c r="L28" s="9">
        <f>K28*G28</f>
        <v>41978.399999999994</v>
      </c>
      <c r="M28" s="32">
        <f>L28*12</f>
        <v>503740.79999999993</v>
      </c>
      <c r="O28" s="10"/>
    </row>
    <row r="29" spans="4:21" ht="38.25">
      <c r="D29" s="149">
        <v>18</v>
      </c>
      <c r="E29" s="119" t="s">
        <v>266</v>
      </c>
      <c r="F29" s="8" t="s">
        <v>143</v>
      </c>
      <c r="G29" s="69">
        <v>4</v>
      </c>
      <c r="H29" s="42">
        <v>2</v>
      </c>
      <c r="I29" s="42">
        <f t="shared" si="0"/>
        <v>8</v>
      </c>
      <c r="J29" s="43">
        <f>'Equipe Técnica Grupo 01'!AB127</f>
        <v>3992.1</v>
      </c>
      <c r="K29" s="41">
        <f t="shared" si="4"/>
        <v>7984.2</v>
      </c>
      <c r="L29" s="9">
        <f t="shared" ref="L29:L30" si="8">K29*G29</f>
        <v>31936.799999999999</v>
      </c>
      <c r="M29" s="32">
        <f>L29*12</f>
        <v>383241.6</v>
      </c>
      <c r="O29" s="10"/>
    </row>
    <row r="30" spans="4:21" ht="38.25">
      <c r="D30" s="149">
        <v>19</v>
      </c>
      <c r="E30" s="119" t="s">
        <v>266</v>
      </c>
      <c r="F30" s="8" t="s">
        <v>143</v>
      </c>
      <c r="G30" s="69">
        <v>3</v>
      </c>
      <c r="H30" s="42">
        <v>1</v>
      </c>
      <c r="I30" s="42">
        <f t="shared" si="0"/>
        <v>3</v>
      </c>
      <c r="J30" s="43">
        <f>'Equipe Técnica Grupo 01'!AC127</f>
        <v>3713.74</v>
      </c>
      <c r="K30" s="166">
        <f t="shared" si="4"/>
        <v>3713.74</v>
      </c>
      <c r="L30" s="9">
        <f t="shared" si="8"/>
        <v>11141.22</v>
      </c>
      <c r="M30" s="32">
        <f>L30*12</f>
        <v>133694.63999999998</v>
      </c>
      <c r="O30" s="10"/>
    </row>
    <row r="31" spans="4:21" ht="15.75" thickBot="1">
      <c r="D31" s="263" t="s">
        <v>146</v>
      </c>
      <c r="E31" s="264"/>
      <c r="F31" s="265"/>
      <c r="G31" s="143">
        <f>SUM(G12:G30)</f>
        <v>235</v>
      </c>
      <c r="H31" s="143"/>
      <c r="I31" s="143">
        <f>SUM(I12:I30)</f>
        <v>290</v>
      </c>
      <c r="J31" s="143"/>
      <c r="K31" s="144"/>
      <c r="L31" s="145">
        <f>SUM(L12:L30)</f>
        <v>1150331.3700000001</v>
      </c>
      <c r="M31" s="146">
        <f>SUM(M12:M30)</f>
        <v>13803976.440000001</v>
      </c>
      <c r="O31" s="10"/>
    </row>
    <row r="32" spans="4:21" ht="15.75" thickTop="1">
      <c r="D32" s="11"/>
      <c r="E32" s="11"/>
      <c r="F32" s="11"/>
      <c r="G32" s="11"/>
      <c r="H32" s="11"/>
      <c r="I32" s="11"/>
      <c r="J32" s="11"/>
      <c r="K32" s="11"/>
      <c r="L32" s="11"/>
      <c r="M32" s="11"/>
      <c r="O32" s="10"/>
    </row>
    <row r="33" spans="14:15" ht="3" customHeight="1">
      <c r="O33" s="10"/>
    </row>
    <row r="34" spans="14:15">
      <c r="O34" s="10"/>
    </row>
    <row r="35" spans="14:15">
      <c r="O35" s="10"/>
    </row>
    <row r="36" spans="14:15">
      <c r="N36" s="30"/>
      <c r="O36" s="30"/>
    </row>
    <row r="37" spans="14:15">
      <c r="N37" s="11"/>
      <c r="O37" s="11"/>
    </row>
    <row r="41" spans="14:15" ht="51.75" customHeight="1"/>
  </sheetData>
  <mergeCells count="7">
    <mergeCell ref="D31:F31"/>
    <mergeCell ref="D10:M10"/>
    <mergeCell ref="D4:M4"/>
    <mergeCell ref="D5:M5"/>
    <mergeCell ref="D6:M6"/>
    <mergeCell ref="D7:M7"/>
    <mergeCell ref="D8:M8"/>
  </mergeCells>
  <pageMargins left="0.511811024" right="0.511811024" top="0.78740157499999996" bottom="0.78740157499999996" header="0.31496062000000002" footer="0.31496062000000002"/>
  <pageSetup scale="4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4</vt:i4>
      </vt:variant>
    </vt:vector>
  </HeadingPairs>
  <TitlesOfParts>
    <vt:vector size="8" baseType="lpstr">
      <vt:lpstr>Equipe Técnica Grupo 01</vt:lpstr>
      <vt:lpstr>Materiais de Consumo</vt:lpstr>
      <vt:lpstr>Uniformes e Equipamentos</vt:lpstr>
      <vt:lpstr>Resumo dos Postos</vt:lpstr>
      <vt:lpstr>'Equipe Técnica Grupo 01'!Area_de_impressao</vt:lpstr>
      <vt:lpstr>'Materiais de Consumo'!Area_de_impressao</vt:lpstr>
      <vt:lpstr>'Resumo dos Postos'!Area_de_impressao</vt:lpstr>
      <vt:lpstr>'Uniformes e Equipamentos'!Area_de_impressao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Rosiane Batista Dantas</dc:creator>
  <cp:keywords/>
  <dc:description/>
  <cp:lastModifiedBy>Perla Lucilia Silva Rocha</cp:lastModifiedBy>
  <cp:revision/>
  <dcterms:created xsi:type="dcterms:W3CDTF">2014-12-03T18:22:08Z</dcterms:created>
  <dcterms:modified xsi:type="dcterms:W3CDTF">2022-03-24T17:22:06Z</dcterms:modified>
  <cp:category/>
  <cp:contentStatus/>
</cp:coreProperties>
</file>